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5220" activeTab="0"/>
  </bookViews>
  <sheets>
    <sheet name="ORIGINAL" sheetId="1" r:id="rId1"/>
    <sheet name="detailed GEF budget" sheetId="2" r:id="rId2"/>
    <sheet name="detailed GEF budget BIS" sheetId="3" r:id="rId3"/>
    <sheet name="total budget reconciliation" sheetId="4" r:id="rId4"/>
    <sheet name="DP1" sheetId="5" r:id="rId5"/>
    <sheet name="DP2" sheetId="6" r:id="rId6"/>
    <sheet name="DP3" sheetId="7" r:id="rId7"/>
    <sheet name="COUNTRIES" sheetId="8" r:id="rId8"/>
    <sheet name="MOA C" sheetId="9" r:id="rId9"/>
    <sheet name="Co finance" sheetId="10" r:id="rId10"/>
    <sheet name="Procurement plan" sheetId="11" r:id="rId11"/>
  </sheets>
  <definedNames>
    <definedName name="_Fill" localSheetId="2" hidden="1">'detailed GEF budget BIS'!$A$12</definedName>
    <definedName name="_Fill" localSheetId="4" hidden="1">'DP1'!$A$12</definedName>
    <definedName name="_Fill" localSheetId="5" hidden="1">'DP2'!$A$12</definedName>
    <definedName name="_Fill" localSheetId="6" hidden="1">'DP3'!$A$12</definedName>
    <definedName name="_Fill" localSheetId="8" hidden="1">'MOA C'!$A$12</definedName>
    <definedName name="_Fill" localSheetId="0" hidden="1">'ORIGINAL'!#REF!</definedName>
    <definedName name="_Fill" localSheetId="3" hidden="1">'total budget reconciliation'!$A$12</definedName>
    <definedName name="_Fill" hidden="1">'detailed GEF budget'!$A$12</definedName>
    <definedName name="_ftn1" localSheetId="9">'Co finance'!$A$37</definedName>
    <definedName name="_ftnref1" localSheetId="9">'Co finance'!$A$29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8" hidden="1">1</definedName>
    <definedName name="_Regression_Int" localSheetId="0" hidden="1">1</definedName>
    <definedName name="_Regression_Int" localSheetId="3" hidden="1">1</definedName>
    <definedName name="_xlnm.Print_Area" localSheetId="7">'COUNTRIES'!$A$1:$I$158</definedName>
    <definedName name="_xlnm.Print_Titles" localSheetId="1">'detailed GEF budget'!$9:$11</definedName>
    <definedName name="_xlnm.Print_Titles" localSheetId="2">'detailed GEF budget BIS'!$9:$11</definedName>
    <definedName name="_xlnm.Print_Titles" localSheetId="4">'DP1'!$9:$11</definedName>
    <definedName name="_xlnm.Print_Titles" localSheetId="5">'DP2'!$9:$11</definedName>
    <definedName name="_xlnm.Print_Titles" localSheetId="6">'DP3'!$9:$11</definedName>
    <definedName name="_xlnm.Print_Titles" localSheetId="8">'MOA C'!$9:$11</definedName>
    <definedName name="_xlnm.Print_Titles" localSheetId="0">'ORIGINAL'!$9:$10</definedName>
    <definedName name="_xlnm.Print_Titles" localSheetId="3">'total budget reconciliation'!$9:$11</definedName>
    <definedName name="Zone_impres_MI" localSheetId="1">'detailed GEF budget'!$A$3:$F$188</definedName>
    <definedName name="Zone_impres_MI" localSheetId="2">'detailed GEF budget BIS'!$A$3:$F$128</definedName>
    <definedName name="Zone_impres_MI" localSheetId="4">'DP1'!$A$3:$H$128</definedName>
    <definedName name="Zone_impres_MI" localSheetId="5">'DP2'!$A$3:$H$137</definedName>
    <definedName name="Zone_impres_MI" localSheetId="6">'DP3'!$A$3:$H$136</definedName>
    <definedName name="Zone_impres_MI" localSheetId="8">'MOA C'!$A$3:$F$95</definedName>
    <definedName name="Zone_impres_MI" localSheetId="0">'ORIGINAL'!$A$3:$E$10</definedName>
    <definedName name="Zone_impres_MI" localSheetId="3">'total budget reconciliation'!$A$3:$M$139</definedName>
  </definedNames>
  <calcPr fullCalcOnLoad="1"/>
</workbook>
</file>

<file path=xl/sharedStrings.xml><?xml version="1.0" encoding="utf-8"?>
<sst xmlns="http://schemas.openxmlformats.org/spreadsheetml/2006/main" count="3204" uniqueCount="651">
  <si>
    <t>1 National consultant per country and 1 regional consultant or the activity:Analysis of National Institutions including ongoing/planned initiatives (National 20 days percountry, Regional 20 days)</t>
  </si>
  <si>
    <t>Organise national high level training sessions on SAP/NAPs implementation</t>
  </si>
  <si>
    <t>Submit  6 national demonstration projects and replication plan to riparian countries for approval (1 workshop per country)</t>
  </si>
  <si>
    <t>Project No:</t>
  </si>
  <si>
    <t>Total</t>
  </si>
  <si>
    <t>US$</t>
  </si>
  <si>
    <t>PROJECT PERSONNEL COMPONENT</t>
  </si>
  <si>
    <t>1100</t>
  </si>
  <si>
    <t>1101</t>
  </si>
  <si>
    <t>1102</t>
  </si>
  <si>
    <t>1199</t>
  </si>
  <si>
    <t>1200</t>
  </si>
  <si>
    <t>1201</t>
  </si>
  <si>
    <t>1202</t>
  </si>
  <si>
    <t>1203</t>
  </si>
  <si>
    <t>1299</t>
  </si>
  <si>
    <t>1300</t>
  </si>
  <si>
    <t>1301</t>
  </si>
  <si>
    <t>1302</t>
  </si>
  <si>
    <t>1303</t>
  </si>
  <si>
    <t>1399</t>
  </si>
  <si>
    <t>1400</t>
  </si>
  <si>
    <t>1401</t>
  </si>
  <si>
    <t>1402</t>
  </si>
  <si>
    <t>1499</t>
  </si>
  <si>
    <t>1600</t>
  </si>
  <si>
    <t>1601</t>
  </si>
  <si>
    <t>1602</t>
  </si>
  <si>
    <t>1699</t>
  </si>
  <si>
    <t>Component Total</t>
  </si>
  <si>
    <t>2100</t>
  </si>
  <si>
    <t>2101</t>
  </si>
  <si>
    <t>2199</t>
  </si>
  <si>
    <t>2200</t>
  </si>
  <si>
    <t>2201</t>
  </si>
  <si>
    <t>2202</t>
  </si>
  <si>
    <t>2203</t>
  </si>
  <si>
    <t>2299</t>
  </si>
  <si>
    <t>2300</t>
  </si>
  <si>
    <t>2301</t>
  </si>
  <si>
    <t>2302</t>
  </si>
  <si>
    <t>2303</t>
  </si>
  <si>
    <t>2399</t>
  </si>
  <si>
    <t>TRAINING COMPONENT</t>
  </si>
  <si>
    <t>3100</t>
  </si>
  <si>
    <t>3101</t>
  </si>
  <si>
    <t>3102</t>
  </si>
  <si>
    <t>3199</t>
  </si>
  <si>
    <t>3200</t>
  </si>
  <si>
    <t>3201</t>
  </si>
  <si>
    <t>3299</t>
  </si>
  <si>
    <t>3300</t>
  </si>
  <si>
    <t>3301</t>
  </si>
  <si>
    <t>3302</t>
  </si>
  <si>
    <t>3303</t>
  </si>
  <si>
    <t>3399</t>
  </si>
  <si>
    <t>4100</t>
  </si>
  <si>
    <t>4101</t>
  </si>
  <si>
    <t>Office supplies</t>
  </si>
  <si>
    <t>4102</t>
  </si>
  <si>
    <t>Library acquisitions</t>
  </si>
  <si>
    <t>4103</t>
  </si>
  <si>
    <t>Computer Software</t>
  </si>
  <si>
    <t>4199</t>
  </si>
  <si>
    <t>4201</t>
  </si>
  <si>
    <t>4202</t>
  </si>
  <si>
    <t>4299</t>
  </si>
  <si>
    <t>4301</t>
  </si>
  <si>
    <t>4399</t>
  </si>
  <si>
    <t>MISCELLANEOUS COMPONENT</t>
  </si>
  <si>
    <t>5100</t>
  </si>
  <si>
    <t>5101</t>
  </si>
  <si>
    <t>5102</t>
  </si>
  <si>
    <t>5103</t>
  </si>
  <si>
    <t>5104</t>
  </si>
  <si>
    <t>5105</t>
  </si>
  <si>
    <t>5199</t>
  </si>
  <si>
    <t>5201</t>
  </si>
  <si>
    <t>5202</t>
  </si>
  <si>
    <t>5299</t>
  </si>
  <si>
    <t>5301</t>
  </si>
  <si>
    <t>5302</t>
  </si>
  <si>
    <t>5303</t>
  </si>
  <si>
    <t>5399</t>
  </si>
  <si>
    <t>Hospitality and entertainment</t>
  </si>
  <si>
    <t>5401</t>
  </si>
  <si>
    <t>5499</t>
  </si>
  <si>
    <t>5501</t>
  </si>
  <si>
    <t>5502</t>
  </si>
  <si>
    <t>5599</t>
  </si>
  <si>
    <t>Non-expendable equipment</t>
  </si>
  <si>
    <t>Travel on official business (above staff)</t>
  </si>
  <si>
    <t>3202</t>
  </si>
  <si>
    <t>3203</t>
  </si>
  <si>
    <t>Meetings/conferences    (give title)</t>
  </si>
  <si>
    <t>Administrative support          w/m</t>
  </si>
  <si>
    <t>(computers, office equip, etc)</t>
  </si>
  <si>
    <t>(example shown below)</t>
  </si>
  <si>
    <t>newsletters, printing, etc)</t>
  </si>
  <si>
    <t>Rental &amp; maint. of computer equip.</t>
  </si>
  <si>
    <t>Repair &amp; maint. of vehicles &amp; insurance</t>
  </si>
  <si>
    <t>Rental &amp; maint. of other office equip</t>
  </si>
  <si>
    <t>Rental of meeting rooms &amp; equip.</t>
  </si>
  <si>
    <t>Expendable equipment (items under</t>
  </si>
  <si>
    <t>SUB-CONTRACT COMPONENT</t>
  </si>
  <si>
    <t>Group training (study tours, field trips,</t>
  </si>
  <si>
    <t>workshops, seminars, etc)    (give title)</t>
  </si>
  <si>
    <t>Operation and maintenance of equip.</t>
  </si>
  <si>
    <t>Consultants                               w/m</t>
  </si>
  <si>
    <t>Project Personnel                     w/m</t>
  </si>
  <si>
    <t>Volunteers                                w/m</t>
  </si>
  <si>
    <t>1403</t>
  </si>
  <si>
    <t>1603</t>
  </si>
  <si>
    <t>(Show title/grade)</t>
  </si>
  <si>
    <t>(Give description of activity/service)</t>
  </si>
  <si>
    <t>Sub-contracts  (MoU's/LA's for UN</t>
  </si>
  <si>
    <t>cooperating agencies)</t>
  </si>
  <si>
    <t>Sub-contracts  (MoU's/LA's for non-</t>
  </si>
  <si>
    <t>profit supporting organizations)</t>
  </si>
  <si>
    <t>Fellowships  (total stipend/fees, travel</t>
  </si>
  <si>
    <t>costs, etc)</t>
  </si>
  <si>
    <t>($1,500 each, for example)</t>
  </si>
  <si>
    <t>Premises  (office rent, maintenance</t>
  </si>
  <si>
    <t>of premises, etc)</t>
  </si>
  <si>
    <t>Sundry  (communications, postage,</t>
  </si>
  <si>
    <t>Evaluation  (consultants fees/travel/</t>
  </si>
  <si>
    <t>Sub-contracts (commercial purposes)</t>
  </si>
  <si>
    <t>EQUIPMENT &amp; PREMISES COMPONENT</t>
  </si>
  <si>
    <t>Rental &amp; maint. of copiers</t>
  </si>
  <si>
    <t>Reporting costs  (publications, maps,</t>
  </si>
  <si>
    <t>freight, clearance charges, etc)</t>
  </si>
  <si>
    <t>Project Name:</t>
  </si>
  <si>
    <t>DSA, admin support, etc.  internal projects)</t>
  </si>
  <si>
    <t>UNEP BUDGET LINE/OBJECT OF EXPENDITURE</t>
  </si>
  <si>
    <t>3103</t>
  </si>
  <si>
    <t>4203</t>
  </si>
  <si>
    <t>TOTAL COSTS</t>
  </si>
  <si>
    <t>Executing Agency:</t>
  </si>
  <si>
    <t>Sub-Total</t>
  </si>
  <si>
    <t>Year 1</t>
  </si>
  <si>
    <t>Year 2</t>
  </si>
  <si>
    <t>Year 3</t>
  </si>
  <si>
    <t>Source of funding (noting whether cash or in-kind):</t>
  </si>
  <si>
    <t>Cash/kind</t>
  </si>
  <si>
    <t>RECONCILIATION BETWEEN GEF ACTIVITY BASED BUDGET AND UNEP BUDGET BY EXPENDITURE CODE (TOTAL GEF &amp; COFINANCE)</t>
  </si>
  <si>
    <t>RECONCILIATION BETWEEN GEF ACTIVITY BASED BUDGET AND UNEP BUDGET BY EXPENDITURE CODE (GEF FINANCE ONLY)</t>
  </si>
  <si>
    <t>GEF   funding</t>
  </si>
  <si>
    <t>Cofinance   1</t>
  </si>
  <si>
    <t>Cofinance   4</t>
  </si>
  <si>
    <r>
      <t xml:space="preserve">BUDGET ALLOCATION BY PROJECT COMPONENT/ACTIVITY  </t>
    </r>
    <r>
      <rPr>
        <b/>
        <sz val="12"/>
        <rFont val="Times New Roman"/>
        <family val="1"/>
      </rPr>
      <t>*</t>
    </r>
  </si>
  <si>
    <t>ALLOCATION BY CALENDAR YEAR  **</t>
  </si>
  <si>
    <t>Regional Project Coordinator 48 (w/m)</t>
  </si>
  <si>
    <t>Scientific and Information Officer 48 (w/m)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</si>
  <si>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</si>
  <si>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</si>
  <si>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</si>
  <si>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</si>
  <si>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</si>
  <si>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</si>
  <si>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</si>
  <si>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</si>
  <si>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</si>
  <si>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</si>
  <si>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1220</t>
  </si>
  <si>
    <t>1221</t>
  </si>
  <si>
    <t>2204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</si>
  <si>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</si>
  <si>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</si>
  <si>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</si>
  <si>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</si>
  <si>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</si>
  <si>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</si>
  <si>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</si>
  <si>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</si>
  <si>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</si>
  <si>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</si>
  <si>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</si>
  <si>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</si>
  <si>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</si>
  <si>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</si>
  <si>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</si>
  <si>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Travel of PMU staff for the activity: Prepare the inception report</t>
  </si>
  <si>
    <t>Travel of PMU staff for the activity: Organize 6 workshops at country level (with national institutions and stakeholders) as input to the SAP elaboration</t>
  </si>
  <si>
    <t>Travel of PMU staff for the activity: Organize 6 workshops at country level (with national institutions and stakeholders) as input to the NAPs elaboration</t>
  </si>
  <si>
    <t>Travel of PMU staff for the activity: Organize 6 workshops at country level with stakeholders and national institutions as input to the TDA elaboration</t>
  </si>
  <si>
    <t>Travel of PMU staff for the activity: Organise national high level training sessions on SAP/NAPs implementation (1 session per country)</t>
  </si>
  <si>
    <t>Travel of PMU staff for the activity: Review demo project documents (logframe, activities, budget , M&amp;E plan and work plan) and prepare inception report</t>
  </si>
  <si>
    <t>Travel of PMU staff for the activity: Submit the 6 national demonstration projects to riparian countries for approval</t>
  </si>
  <si>
    <t>5 Project Steering committee meetings</t>
  </si>
  <si>
    <t>3304</t>
  </si>
  <si>
    <t>3305</t>
  </si>
  <si>
    <t>3306</t>
  </si>
  <si>
    <t>3307</t>
  </si>
  <si>
    <t>3308</t>
  </si>
  <si>
    <t>3309</t>
  </si>
  <si>
    <t>3310</t>
  </si>
  <si>
    <t>3311</t>
  </si>
  <si>
    <t>Organize validation  regional workshop with national, regional and international institutions and stakeholders  (TDA)</t>
  </si>
  <si>
    <t>Organize starting  regional workshop with national, regional and international institutions and stakeholders (SAP)</t>
  </si>
  <si>
    <t>Organize 6 workshops at country level (with national institutions and stakeholders) as input to the SAP elaboration</t>
  </si>
  <si>
    <t>Organize validation  regional workshop with national, regional and international institutions and stakeholders (SAP)</t>
  </si>
  <si>
    <t>Organize 6 workshops at country level (with national institutions and stakeholders) as input to the NAPs elaboration</t>
  </si>
  <si>
    <t>Organize NAP validation workshops in each riparian country</t>
  </si>
  <si>
    <t>3204</t>
  </si>
  <si>
    <t>3205</t>
  </si>
  <si>
    <t>Organise at national level, awareness raising campaigns on IRB management for stakeholders(1 session per country)</t>
  </si>
  <si>
    <t>Digital Video/Camera</t>
  </si>
  <si>
    <t>Communication</t>
  </si>
  <si>
    <t>Auditing</t>
  </si>
  <si>
    <t xml:space="preserve"> Unspecified</t>
  </si>
  <si>
    <t>Document lessons learned from the 3 demonstration projects documented and incorporate them in SAP and NAPs documents</t>
  </si>
  <si>
    <t>Evaluation costs (overall project)</t>
  </si>
  <si>
    <t>Evaluation of the implementation of the 3 demonstration projects</t>
  </si>
  <si>
    <t>Year 4</t>
  </si>
  <si>
    <t>3206</t>
  </si>
  <si>
    <t>2205</t>
  </si>
  <si>
    <t>2206</t>
  </si>
  <si>
    <t>2207</t>
  </si>
  <si>
    <t>Consultancy Contract with the members of the Task Force</t>
  </si>
  <si>
    <t>Organize a meeting of the Ministers in charge of Water and Environment for the endorsement of the SAP document (ideally in conjunction with RBO Ministerial meeting)</t>
  </si>
  <si>
    <t>Participation to International and regional forum</t>
  </si>
  <si>
    <t>Travel of PMU staff for the activity: Organise at national level, awareness raising campaigns on IRB management for stakeholders(1 session per country)</t>
  </si>
  <si>
    <t>LOA with UCC Water</t>
  </si>
  <si>
    <t>Addressing Transboundary Concerns in the Volta River Basin and its Downstream Coastal Area</t>
  </si>
  <si>
    <t>UNOPS</t>
  </si>
  <si>
    <t>Joint management of a flow release warning system in the Sourou river valley (tributary of Black Volta or Mouhoun)</t>
  </si>
  <si>
    <t>Installing and comparing technological models of wastewater treatment in the towns of Kara (Togo) and Natitingou (Benin)</t>
  </si>
  <si>
    <t>Restoring and protecting the river beds of the Black Volta and its tributaries through participative campaigns of reforestation</t>
  </si>
  <si>
    <t>GEF   DP</t>
  </si>
  <si>
    <t>GEF   Core Project</t>
  </si>
  <si>
    <t>Countrepart</t>
  </si>
  <si>
    <t>Cash</t>
  </si>
  <si>
    <t>Project Manager (CI) 24 w/m</t>
  </si>
  <si>
    <t>Deputy Project Manager GH) 24 w/m</t>
  </si>
  <si>
    <t>Situation appraisal GH)</t>
  </si>
  <si>
    <t>Situation appraisal (CI)</t>
  </si>
  <si>
    <t>Capacity Building</t>
  </si>
  <si>
    <t>On site training</t>
  </si>
  <si>
    <t>Accounting Secretary (CI)</t>
  </si>
  <si>
    <t>Driver (CI)</t>
  </si>
  <si>
    <t>Driver (GH)</t>
  </si>
  <si>
    <t>Plan for the management of the new parcels of forest</t>
  </si>
  <si>
    <t>Socio-economist and misc.</t>
  </si>
  <si>
    <t xml:space="preserve"> CI officials to GH</t>
  </si>
  <si>
    <t xml:space="preserve"> GH officials to CI</t>
  </si>
  <si>
    <t>Field Visit CI Nat Coordinator</t>
  </si>
  <si>
    <t>Field Visit GH Nat Coordinator</t>
  </si>
  <si>
    <t>Mission drivers</t>
  </si>
  <si>
    <t>Field vist PMU</t>
  </si>
  <si>
    <t>Mapping, Hydrological data and modelling</t>
  </si>
  <si>
    <t>2304</t>
  </si>
  <si>
    <t>2305</t>
  </si>
  <si>
    <t>2306</t>
  </si>
  <si>
    <t>2307</t>
  </si>
  <si>
    <t>2308</t>
  </si>
  <si>
    <t>Mechanical showel (2 weeks)</t>
  </si>
  <si>
    <t>Production of young plants</t>
  </si>
  <si>
    <t>Preparation of plot of yard</t>
  </si>
  <si>
    <t>Maintenance of plantations</t>
  </si>
  <si>
    <t>Conventions with NGO (CI)</t>
  </si>
  <si>
    <t>Conventions with NGO GH)</t>
  </si>
  <si>
    <t>Realisation of firewalls</t>
  </si>
  <si>
    <t>Restoration of 10 km of river embankment</t>
  </si>
  <si>
    <t>Bilateral meetings</t>
  </si>
  <si>
    <t>Local workshops</t>
  </si>
  <si>
    <t>Stationery and office cost</t>
  </si>
  <si>
    <t>Vehicles operation/maintenance</t>
  </si>
  <si>
    <t>Computers</t>
  </si>
  <si>
    <t>Topographic and bathymetric equipments GPS</t>
  </si>
  <si>
    <t xml:space="preserve">Equipment for the measurement of  hydrologic parameters </t>
  </si>
  <si>
    <t>Evaluation (Travel and consultants)</t>
  </si>
  <si>
    <t>Collecting Hydrological data</t>
  </si>
  <si>
    <t>Situation appraisal (Mali)</t>
  </si>
  <si>
    <t>Situation appraisal (BF)</t>
  </si>
  <si>
    <t>Validation of inception report (workshop)</t>
  </si>
  <si>
    <t>Instalation/rehabilitation of hydrometric stations</t>
  </si>
  <si>
    <t>Instalation/rehabilitation of rain gauge  stations</t>
  </si>
  <si>
    <t>Carry out study on different probable flooding scenarios based on data analysis and the early warning system</t>
  </si>
  <si>
    <t>Collect and analyse hydrometric data (water levels and flow) and precipitation data  and update existing databases on regular basis</t>
  </si>
  <si>
    <t>Document data analysis through publication of annual reports</t>
  </si>
  <si>
    <t>Project Execution Costs -UNOPS (8%)</t>
  </si>
  <si>
    <t>GRAND TOTAL COSTS</t>
  </si>
  <si>
    <t>3312</t>
  </si>
  <si>
    <t>1222</t>
  </si>
  <si>
    <t>Support and co-organise the celebration of international water or environment events in riparian countries</t>
  </si>
  <si>
    <t>Document project implementation and communicate results through publications, regional and internal reports, project newspaper  and project website including translation</t>
  </si>
  <si>
    <t>Project Manager (Togo) 24 w/m</t>
  </si>
  <si>
    <t>Situation appraisal (Togo)</t>
  </si>
  <si>
    <t>Situation appraisal (Benin)</t>
  </si>
  <si>
    <t>Kind</t>
  </si>
  <si>
    <t>Accounting Secretary (Togo)</t>
  </si>
  <si>
    <t>Coordination Meetings</t>
  </si>
  <si>
    <t>Field Visits National partners+ Drivers</t>
  </si>
  <si>
    <t>2208</t>
  </si>
  <si>
    <t>2209</t>
  </si>
  <si>
    <t>2210</t>
  </si>
  <si>
    <t>2211</t>
  </si>
  <si>
    <t>2212</t>
  </si>
  <si>
    <t>Support consciousness raising</t>
  </si>
  <si>
    <t>Geotechnical site study and EIA</t>
  </si>
  <si>
    <t>Awareness building Campaign NGOs</t>
  </si>
  <si>
    <t>Water Quality Control Labo Nat. Bénin</t>
  </si>
  <si>
    <t>Water Quality Control Labo Nat. Togo</t>
  </si>
  <si>
    <t>Kits rapid water quality control</t>
  </si>
  <si>
    <t>Spots, medias, posters</t>
  </si>
  <si>
    <t>Construction of purification basin (Kara)</t>
  </si>
  <si>
    <t>Supervision Construction of basin</t>
  </si>
  <si>
    <t>Management, care, maintenance of basin</t>
  </si>
  <si>
    <t>Effects of a better sanitation system on water and environment monitored</t>
  </si>
  <si>
    <t xml:space="preserve">Proposal for the construction of wastewater treatment plant in the city of Natitingou </t>
  </si>
  <si>
    <t>Training technicians of 2 Mayor's offices</t>
  </si>
  <si>
    <t>On job training technicians/workers</t>
  </si>
  <si>
    <t xml:space="preserve">Training NGOs for awareness campaigns </t>
  </si>
  <si>
    <t>Hand Over</t>
  </si>
  <si>
    <t xml:space="preserve">Office and information equipment </t>
  </si>
  <si>
    <t>All terrain Motorcycles (2)</t>
  </si>
  <si>
    <t>Water Pumps (+ spare parts.)</t>
  </si>
  <si>
    <t>Feasibility study on the reuse of treated wastewater for agricultural purposes</t>
  </si>
  <si>
    <t>Irrigate 5 ha of plantation and monitor agricultural yields</t>
  </si>
  <si>
    <t>Topographic measurements, site identification, mapping (Natitingou)</t>
  </si>
  <si>
    <t>MOU TOGO</t>
  </si>
  <si>
    <t>Togo</t>
  </si>
  <si>
    <t>Benin</t>
  </si>
  <si>
    <t>CI</t>
  </si>
  <si>
    <t>GH</t>
  </si>
  <si>
    <t>Mali</t>
  </si>
  <si>
    <t>Burkina</t>
  </si>
  <si>
    <t>Organize one scientific workshop in collaboration with UNIESCO</t>
  </si>
  <si>
    <t>Country/partner</t>
  </si>
  <si>
    <t>Cash (USD)</t>
  </si>
  <si>
    <t>Kind (USD)</t>
  </si>
  <si>
    <t>Burkina Faso</t>
  </si>
  <si>
    <t>Côte d'Ivoire</t>
  </si>
  <si>
    <t>Ghana</t>
  </si>
  <si>
    <t xml:space="preserve">Government of Hungary </t>
  </si>
  <si>
    <t xml:space="preserve">Government of the Czech Rep. </t>
  </si>
  <si>
    <t>CFA</t>
  </si>
  <si>
    <t>USD</t>
  </si>
  <si>
    <t>Cofinance   2 (Hungary )</t>
  </si>
  <si>
    <t>Cofinance   3 (Czech Rep)</t>
  </si>
  <si>
    <t>UNEP</t>
  </si>
  <si>
    <t>GEF</t>
  </si>
  <si>
    <t xml:space="preserve"> </t>
  </si>
  <si>
    <t>MOA with partner for Demo Project 1</t>
  </si>
  <si>
    <t>MOA with partner for Demo Project 2</t>
  </si>
  <si>
    <t>MOA with partner for Demo Project 3</t>
  </si>
  <si>
    <t>Admin. Ass. 44 (w/m)</t>
  </si>
  <si>
    <t>Secretary Salary 44 (w/m)</t>
  </si>
  <si>
    <t>MOA with countries</t>
  </si>
  <si>
    <t>NOFP (42 w/m)</t>
  </si>
  <si>
    <t>Computer  Hardware (1 desktop and printer per country)</t>
  </si>
  <si>
    <t>NIC Meetings (2 meetings per year and 1 in 2008)</t>
  </si>
  <si>
    <t>Validation of reference documents and consultancy reports (conference room, lunch, coffee break): maximum of 11 meetings per country</t>
  </si>
  <si>
    <t>Office supplies (including Toners for printers, Fax, photocopier,…)</t>
  </si>
  <si>
    <t xml:space="preserve">Office Equipment </t>
  </si>
  <si>
    <t>COMPUTATION OF CO-FINANCE CONTRIBUTIONS TO THE GEF-VOLTA PROJECT</t>
  </si>
  <si>
    <t>Computed total  co-finance</t>
  </si>
  <si>
    <t>Budget item</t>
  </si>
  <si>
    <t>Unit</t>
  </si>
  <si>
    <t>Quantity</t>
  </si>
  <si>
    <t>Unit Cost Cash</t>
  </si>
  <si>
    <t>Unit Cost in-kind</t>
  </si>
  <si>
    <t>In-kind</t>
  </si>
  <si>
    <t>Note</t>
  </si>
  <si>
    <t>National/regional meetings</t>
  </si>
  <si>
    <t>Participants</t>
  </si>
  <si>
    <t>meeting</t>
  </si>
  <si>
    <t>Conference room</t>
  </si>
  <si>
    <t>room</t>
  </si>
  <si>
    <t>Communication (phone, internet, etc.)</t>
  </si>
  <si>
    <t>unit</t>
  </si>
  <si>
    <t>Meeting Secretariat and hostesses (national meeting)</t>
  </si>
  <si>
    <t>Meeting material (national meetings)</t>
  </si>
  <si>
    <t>Medias  (national meetings and if requested)</t>
  </si>
  <si>
    <t>Transport</t>
  </si>
  <si>
    <t>Regional meetings (1 per country)</t>
  </si>
  <si>
    <t>Field Visits  (2 staff, 1 driver, 4 days)</t>
  </si>
  <si>
    <t>Personnel</t>
  </si>
  <si>
    <t>visit</t>
  </si>
  <si>
    <t>DSA</t>
  </si>
  <si>
    <t>visits</t>
  </si>
  <si>
    <t>Transportation</t>
  </si>
  <si>
    <t>Other contributions</t>
  </si>
  <si>
    <t>month</t>
  </si>
  <si>
    <t>Office stationaries</t>
  </si>
  <si>
    <t>Salary of NIFP 1</t>
  </si>
  <si>
    <t>Salary of NIFP 2</t>
  </si>
  <si>
    <t>Operational support (driver, security, cleanner, office assistants, etc.)</t>
  </si>
  <si>
    <t>Tax rebate</t>
  </si>
  <si>
    <t>year</t>
  </si>
  <si>
    <t>Utilities (water, electricity)</t>
  </si>
  <si>
    <t>Communication (phone, internet, etc)</t>
  </si>
  <si>
    <t>Contribution to Data Collection and Management</t>
  </si>
  <si>
    <t>Contribution to public awareness and participation</t>
  </si>
  <si>
    <t>Workshop for NAP Validation</t>
  </si>
  <si>
    <t>workshop</t>
  </si>
  <si>
    <t>Contribution to Sector based assessment on key TDA issues and outlining sectorial actions to be included in the NAPs</t>
  </si>
  <si>
    <t>Contribution to national trainings</t>
  </si>
  <si>
    <t>session</t>
  </si>
  <si>
    <t xml:space="preserve">TOTAL </t>
  </si>
  <si>
    <t>Demo Project</t>
  </si>
  <si>
    <t xml:space="preserve">Additional co-finance fro Ghana </t>
  </si>
  <si>
    <t>Country</t>
  </si>
  <si>
    <t>Office space</t>
  </si>
  <si>
    <t>Total contribution per country</t>
  </si>
  <si>
    <t>Meeting description</t>
  </si>
  <si>
    <t>Days</t>
  </si>
  <si>
    <t>No of participants</t>
  </si>
  <si>
    <t>Daily rate for transportation</t>
  </si>
  <si>
    <t>Coefficient</t>
  </si>
  <si>
    <t>Sub-Total in-kind 1</t>
  </si>
  <si>
    <t>Sub-Total Cash 1</t>
  </si>
  <si>
    <t>Various in-kind</t>
  </si>
  <si>
    <t>Conference room (if requested)</t>
  </si>
  <si>
    <t>Sub-Total in-kind 2</t>
  </si>
  <si>
    <t>Various Cash</t>
  </si>
  <si>
    <t>Sub-Total Cash 2</t>
  </si>
  <si>
    <t>Total in-Kind</t>
  </si>
  <si>
    <t>Total cash</t>
  </si>
  <si>
    <t>Total (Cash)</t>
  </si>
  <si>
    <t>Total (in-kind)</t>
  </si>
  <si>
    <t xml:space="preserve">Grand Total </t>
  </si>
  <si>
    <t>1103</t>
  </si>
  <si>
    <t>1104</t>
  </si>
  <si>
    <t>4302</t>
  </si>
  <si>
    <t>4303</t>
  </si>
  <si>
    <t>National contribution to different  meetings</t>
  </si>
  <si>
    <t>Field visits (National contribution)</t>
  </si>
  <si>
    <t>4204</t>
  </si>
  <si>
    <t>T cash</t>
  </si>
  <si>
    <t>T Kind</t>
  </si>
  <si>
    <t>Contribution to production of SAP documents</t>
  </si>
  <si>
    <t>Contribution to production of NAP documents</t>
  </si>
  <si>
    <t>Office equipments&amp; furnitures</t>
  </si>
  <si>
    <t>Water &amp; Electricity</t>
  </si>
  <si>
    <t>Office space NIFP 1 and 2 &amp; NOFP</t>
  </si>
  <si>
    <t>Cofinance   6</t>
  </si>
  <si>
    <t>Cofinance   7</t>
  </si>
  <si>
    <t>IUCN/PAGEV</t>
  </si>
  <si>
    <t>Volta HYCOS</t>
  </si>
  <si>
    <t>ECOWAS</t>
  </si>
  <si>
    <t>SIAAP</t>
  </si>
  <si>
    <t>Consultants for sub-result R1.4</t>
  </si>
  <si>
    <t>Consultants for sub-result R2.4</t>
  </si>
  <si>
    <t>Consultants for sub-result R2.5</t>
  </si>
  <si>
    <t>Consultants for sub-result R2.6</t>
  </si>
  <si>
    <t>Consultants for sub-result R3.1</t>
  </si>
  <si>
    <t>MOAs with Benin government</t>
  </si>
  <si>
    <t xml:space="preserve">MOAs with Burkina Faso  government </t>
  </si>
  <si>
    <t xml:space="preserve">MOAs with Côte d'Ivoire government </t>
  </si>
  <si>
    <t>MOAs with Ghana  government</t>
  </si>
  <si>
    <t xml:space="preserve">MOAs with Mali  government </t>
  </si>
  <si>
    <t xml:space="preserve">MOAs with Togo government </t>
  </si>
  <si>
    <t>Workshop for sub-result R2.5</t>
  </si>
  <si>
    <t>Workshop for sub-result R3.2 and 33</t>
  </si>
  <si>
    <t>BENIN</t>
  </si>
  <si>
    <t>BURKINA</t>
  </si>
  <si>
    <t>RCI</t>
  </si>
  <si>
    <t>GHANA</t>
  </si>
  <si>
    <t>TOGO</t>
  </si>
  <si>
    <t>Cofinance   BENIN</t>
  </si>
  <si>
    <t>Cofinance   BURKINA</t>
  </si>
  <si>
    <t>Cofinance   RCI</t>
  </si>
  <si>
    <t>Cofinance   GHANA</t>
  </si>
  <si>
    <t>Cofinance   MALI</t>
  </si>
  <si>
    <t>Cofinance   TOGO</t>
  </si>
  <si>
    <t>Project Personnel</t>
  </si>
  <si>
    <t>Consultants</t>
  </si>
  <si>
    <t>Administrative support</t>
  </si>
  <si>
    <t>Volunteers</t>
  </si>
  <si>
    <t>Travel on official business</t>
  </si>
  <si>
    <t>Sub-contracts  (MoU's/LA's for UN agencies)</t>
  </si>
  <si>
    <t>Sub-contracts  (MoU's/LA's for non-profit organisations)</t>
  </si>
  <si>
    <t>Meetings/conferences</t>
  </si>
  <si>
    <t>Group training</t>
  </si>
  <si>
    <t>Fellowships</t>
  </si>
  <si>
    <t>Expendable equipment</t>
  </si>
  <si>
    <t>Premises</t>
  </si>
  <si>
    <t xml:space="preserve">Reporting costs </t>
  </si>
  <si>
    <t xml:space="preserve">Evaluation </t>
  </si>
  <si>
    <t>Per country</t>
  </si>
  <si>
    <t>Cash and kind</t>
  </si>
  <si>
    <t>Subcontracts</t>
  </si>
  <si>
    <t>Workshops and training</t>
  </si>
  <si>
    <t>Travel</t>
  </si>
  <si>
    <t>Equipments/Premises</t>
  </si>
  <si>
    <t>Miscellaneous</t>
  </si>
  <si>
    <t>Gouvernement de la Hongrie</t>
  </si>
  <si>
    <t>Gouvernement de la Rép. Tchèqye.</t>
  </si>
  <si>
    <t>IUCN</t>
  </si>
  <si>
    <t>ECOWAS/EU[1]</t>
  </si>
  <si>
    <t>IRD</t>
  </si>
  <si>
    <t>A confirmer</t>
  </si>
  <si>
    <t>ABV/FEM France</t>
  </si>
  <si>
    <t>6.746.131</t>
  </si>
  <si>
    <t>Pays/partenaires</t>
  </si>
  <si>
    <t>Cofinancement initial</t>
  </si>
  <si>
    <t>Espèce (USD)</t>
  </si>
  <si>
    <t>Nature (USD)</t>
  </si>
  <si>
    <t>Total (USD)</t>
  </si>
  <si>
    <t>Année 1</t>
  </si>
  <si>
    <t>Année 2</t>
  </si>
  <si>
    <t>Année 3</t>
  </si>
  <si>
    <t>Année 4</t>
  </si>
  <si>
    <t>Nature</t>
  </si>
  <si>
    <t>Espece</t>
  </si>
  <si>
    <t>RECAP</t>
  </si>
  <si>
    <t>Project personnel component, including consultants, Administrative support, Volunteers and travels</t>
  </si>
  <si>
    <t>Sub-contract component, including MOA, MOU and LOA</t>
  </si>
  <si>
    <t>Training component including workshops, meetings, con,ferences</t>
  </si>
  <si>
    <t>Equipment and premises component</t>
  </si>
  <si>
    <t xml:space="preserve">Miscellaneous component, including: Operation and maintenance of equip., Reporting costs, Sundry, Evaluation  </t>
  </si>
  <si>
    <t>Office Maintenance+Electricity</t>
  </si>
  <si>
    <t>1 National consultant per country and 1 regional consultant or the activity: Establishment of Regional Information and Data Exchange Mechanism in the Volta River Basin (National 25 days percountry, Regional 20 days)</t>
  </si>
  <si>
    <t>1 regional consultant for the activity: Document lessons learned from the 3 demonstration projects  and incorporate them in SAP and NAPs documents (20 days)</t>
  </si>
  <si>
    <t>1 National consultant per country and 1 regional consultant or the activity: Development of Stakeholders Involvement Plan (National 25 days percountry, Regional 20 days)</t>
  </si>
  <si>
    <t>UNOPS  PROCUREMENT PLAN</t>
  </si>
  <si>
    <t xml:space="preserve">Project: Volta River Project </t>
  </si>
  <si>
    <t>OFFICE:   KEOC</t>
  </si>
  <si>
    <t>REGION:  AFRICA</t>
  </si>
  <si>
    <t>Type of services, works or goods</t>
  </si>
  <si>
    <t>Description of services, works or goods</t>
  </si>
  <si>
    <t>Quantity/term (1)</t>
  </si>
  <si>
    <t xml:space="preserve"> Value (USD) (2)</t>
  </si>
  <si>
    <t>Delivery (3)</t>
  </si>
  <si>
    <t>Project no. (4)</t>
  </si>
  <si>
    <t>various</t>
  </si>
  <si>
    <t>Non-expendable</t>
  </si>
  <si>
    <t>12 months</t>
  </si>
  <si>
    <t>1st, 2nd 3rd &amp; 4th quarter</t>
  </si>
  <si>
    <t>Project Staff Travel</t>
  </si>
  <si>
    <t>1st, 2nd, 3rd &amp; 4th quarter</t>
  </si>
  <si>
    <t>Remarks:</t>
  </si>
  <si>
    <t>1. Please indicate an estimated quantity (number of units) for goods, or an estimated term (number of months) for services. Not applicable for works.</t>
  </si>
  <si>
    <t>2. Please indicate an estimated value in USD</t>
  </si>
  <si>
    <t>3. Please indicate the expected quarter when you require services/works to commence or goods to be delivered</t>
  </si>
  <si>
    <t>4. Please indicate the ATLAS project number if this is available</t>
  </si>
  <si>
    <r>
      <t xml:space="preserve">Services: </t>
    </r>
    <r>
      <rPr>
        <sz val="10"/>
        <rFont val="Arial"/>
        <family val="2"/>
      </rPr>
      <t xml:space="preserve"> Travel</t>
    </r>
  </si>
  <si>
    <r>
      <t>Services:</t>
    </r>
    <r>
      <rPr>
        <sz val="10"/>
        <rFont val="Arial"/>
        <family val="2"/>
      </rPr>
      <t xml:space="preserve">  Meetings</t>
    </r>
  </si>
  <si>
    <t>PERIOD: 2009</t>
  </si>
  <si>
    <r>
      <t>Goods:</t>
    </r>
    <r>
      <rPr>
        <sz val="10"/>
        <rFont val="Arial"/>
        <family val="0"/>
      </rPr>
      <t xml:space="preserve"> </t>
    </r>
  </si>
  <si>
    <t>Training</t>
  </si>
  <si>
    <t>Workshop</t>
  </si>
  <si>
    <t>4 sets</t>
  </si>
  <si>
    <t>4 meetings</t>
  </si>
  <si>
    <t>1214</t>
  </si>
  <si>
    <t>1215</t>
  </si>
  <si>
    <t>1216</t>
  </si>
  <si>
    <t>1217</t>
  </si>
  <si>
    <t>Roundtable on transboundary water governance and IWRM for high level national authorities from riparian countries</t>
  </si>
  <si>
    <t>Contribute to IWLEARN workshop on metadata for Volta Basin</t>
  </si>
  <si>
    <t>3313</t>
  </si>
  <si>
    <t>3314</t>
  </si>
  <si>
    <t>3315</t>
  </si>
  <si>
    <t>3316</t>
  </si>
  <si>
    <t>Workshop for Result 1</t>
  </si>
  <si>
    <t>Communications/postage etc</t>
  </si>
  <si>
    <t>Premises (maintenance of premises, water, electricity, etc)</t>
  </si>
  <si>
    <t>Operations &amp; Maintenance of equip.</t>
  </si>
  <si>
    <t>Consultants for Result 1</t>
  </si>
  <si>
    <t>Consultants for Result 2</t>
  </si>
  <si>
    <t>Consultants for Result 3</t>
  </si>
  <si>
    <t>Verif</t>
  </si>
  <si>
    <t>Travel of PMU for Result R1</t>
  </si>
  <si>
    <t>Travel of PMU for Result R2</t>
  </si>
  <si>
    <t>Travel of PMU for Result R3</t>
  </si>
  <si>
    <t>MOAs with Governments</t>
  </si>
  <si>
    <t>Training for Result 1</t>
  </si>
  <si>
    <t>Training for Result 2</t>
  </si>
  <si>
    <t xml:space="preserve"> Training of national NFP and their assistants on TDA/SAP process (including 1st PTF meeting)</t>
  </si>
  <si>
    <t>Workshop for Result 2</t>
  </si>
  <si>
    <t>Workshop for Result 3</t>
  </si>
  <si>
    <t xml:space="preserve">Travel of PMU staff for the activities: Organise national training sessions on IRB management for personnel in the key institutions (1 session per country) </t>
  </si>
  <si>
    <t>Revised 2008</t>
  </si>
  <si>
    <t>Revised 2009</t>
  </si>
  <si>
    <t>Consultant to support VBA for the preparation and signature of protocol on data sharing with riparian countries (including travel and DSA for the consultant)</t>
  </si>
  <si>
    <t>Original</t>
  </si>
  <si>
    <t>Travel for the activity: Implement the demonstration project No 1</t>
  </si>
  <si>
    <t>Travel for the activity: Implement the demonstration project No 2</t>
  </si>
  <si>
    <t>Travel  for the activity: Implement the demonstration project No 3</t>
  </si>
  <si>
    <t>Travel for the activity: Prepare the Strategic Action Programme document</t>
  </si>
  <si>
    <t>Travel  for the activity: Prepare the National Action Plans documents</t>
  </si>
  <si>
    <t>Travel of PMU staff for the activity: Organize APNP VRB  validation workshops in each riparian country</t>
  </si>
  <si>
    <t>Regional consultants for the activity: Review the preliminary TDA  and Detailed methodology for TDA finalisation and SAP development (20 days )</t>
  </si>
  <si>
    <t>1 National consultant per country for the activity: Prepare the National Action Plans documents, including  NAPs  implementation guideline and long term financing strategy for the NAPs  (30 days per country)</t>
  </si>
  <si>
    <t>Regional consultant for the activity:  Update and complete the transboundary diagnostic analysis document: TDA Coordinator ( 50 days +travel)</t>
  </si>
  <si>
    <t>Total Revised 2009</t>
  </si>
  <si>
    <t>Regional workshop with ongoing/planned initiatives on IWRM and transboundary water and associated environment resources issues (MOA with GWP: : Please link with 2210)</t>
  </si>
  <si>
    <t>Cofinance   1: Volta HYCOS</t>
  </si>
  <si>
    <t>Non-expendable equipment (computers, office equip, etc)</t>
  </si>
  <si>
    <t>Office Equipment</t>
  </si>
  <si>
    <t>Computer  Hardware ( Inc. 2 Laptop, copier, serveur)</t>
  </si>
  <si>
    <t>Computer Software+ software for the  Volta Basin Clearinghouse System</t>
  </si>
  <si>
    <t>3207</t>
  </si>
  <si>
    <t>Regional consultant for the activity:  Update and complete the transboundary diagnostic analysis document:Water Resources   Expert ( 30 days +travel)</t>
  </si>
  <si>
    <t xml:space="preserve"> Regional consultant for the activity: Update and complete the transboundary diagnostic analysis document:Ecosystem Expert ( 25 days +travel)</t>
  </si>
  <si>
    <t xml:space="preserve"> Regional consultant for the activity: Update and complete the transboundary diagnostic analysis document: Socio-economic Development Expert ( 20 days +travel)</t>
  </si>
  <si>
    <t xml:space="preserve">Consultants for the activity: support in collaboration with PAGEV the establishment of pilot local committees in Benin and Togo (grassroots communities) in view of the establishment of national basin organisation </t>
  </si>
  <si>
    <t>Organise national training sessions on IRB management for personnel in the key institutions (1 session per country)</t>
  </si>
  <si>
    <t>MOA with LTHE/AMMA/Research institutions</t>
  </si>
  <si>
    <t>Organise at national level, awareness raising campaigns on IRB management for stakeholders (1 campaign per country)</t>
  </si>
  <si>
    <t>Prepare a protocol for the joint management of the Sourou river valley and Prepare the institutional framework of the protocol and submit it to the 2 countries for endorsement</t>
  </si>
  <si>
    <t>Secretary support (Volta HYCOS)</t>
  </si>
  <si>
    <t xml:space="preserve"> BF officials to Mali/ Mali officials to BF</t>
  </si>
  <si>
    <t>Ttraining workshop and awareness raising campaigns</t>
  </si>
  <si>
    <t>Local workshops+National PSC Meeting</t>
  </si>
  <si>
    <t>Field Visit   Project Working Group+PMU (including transport 10000)</t>
  </si>
  <si>
    <t xml:space="preserve">Project Manager (Support to Volta HYCOS Mali + Data collection) </t>
  </si>
  <si>
    <t>Deputy Project Manager (Support to Volta HYCOS BF + Data collection)</t>
  </si>
  <si>
    <t>Carry out study on the characterisation of hydrological process on the Mouhoun and Sourou basin by using hydrological model</t>
  </si>
  <si>
    <t>Propose measures to mitigate floods impacts  based on identified scenarios</t>
  </si>
  <si>
    <t>Propose measures to improve the management of Lery dam based on identified scenarios</t>
  </si>
  <si>
    <t>Analysis and quantification of historic floods and inundations</t>
  </si>
  <si>
    <t>Develop tools in support to floods forecasting</t>
  </si>
  <si>
    <t>3208</t>
  </si>
  <si>
    <t>Support   the organisation of VBA Programming workshop (including consultants for the finalisation of the VBA strategic plan)</t>
  </si>
  <si>
    <t>Evaluation costs (overall project: Mide term evaluation, mid term review , final evaluation)</t>
  </si>
  <si>
    <t>Support a regional training sessin on the  Volta Basin Clearinghouse System</t>
  </si>
  <si>
    <t>Year 5</t>
  </si>
  <si>
    <t>Consultants for the Review of DP1</t>
  </si>
  <si>
    <t xml:space="preserve">Consultants for the Review of DP2 </t>
  </si>
  <si>
    <t>Consultants for the Review of DP3</t>
  </si>
  <si>
    <t>Training for Result 3</t>
  </si>
  <si>
    <t>1218</t>
  </si>
  <si>
    <t>1219</t>
  </si>
  <si>
    <t>Participation to International and regional forum (For 2009: GEOSS African Water Cycle Symposium, 5th World Water Forum, Turkey, World Water Week, GEF, One scientific meeting on Transboundary river basin, VBA Technical Committee meeting etc.)</t>
  </si>
  <si>
    <t>3317</t>
  </si>
  <si>
    <t xml:space="preserve">Contribute and participate to the development of IWRM Action Plan in Benin, Togo and Côte d’Ivoire to ensure that transboundary issues are addressed </t>
  </si>
  <si>
    <t>Vehicles operation/maintenance/insurance</t>
  </si>
  <si>
    <t>MOAs with other partners (including Demo UCC, LTHE/AMMA, etc.)</t>
  </si>
  <si>
    <t>Training of national partners on UNOPS procedures</t>
  </si>
  <si>
    <t>Travel of PMU staff for the activity: Identify linkages, establish and implement cooperation agreements with: GCLME and other GEF IAs,  other Sahel basin projects and complementary projects in the region (For 2009: Mano River and Lake Tchad, Visit the GEF Okavango, Mekong River Basin, Danub RB ????)</t>
  </si>
  <si>
    <t>Travel of PMU staff for the activity: Prepare the TDA document</t>
  </si>
  <si>
    <t>1 National consultant per country for the activity: Sector based assessment on key TDA issues and outlining sectorial actions to be included in the APNP  VRB (15 dayrs per country)</t>
  </si>
  <si>
    <t>1223</t>
  </si>
  <si>
    <t>Organize TDA validation workshops at country level with stakeholders and national institutions (TDA: 6 validation workshops)</t>
  </si>
  <si>
    <t>Organise 6 country TDA starting workshops</t>
  </si>
  <si>
    <t>Organise 4 thematic TDA groups discussions per country</t>
  </si>
  <si>
    <t>Regional consultants for the activity: Prepare the Strategic Action Programme document, , including  SAP  implementation guideline and long term financing strategy for the SAP 90 days +travel)</t>
  </si>
  <si>
    <t>3318</t>
  </si>
  <si>
    <t xml:space="preserve"> National consultant for the activity: Update and complete the transboundary diagnostic analysis document ( 30 days per country)</t>
  </si>
  <si>
    <t>Task Team in support to national consultant for the activity: Update and complete the transboundary diagnostic analysis document: 2 Thematic Experts per country (lump sum of 2000$ per expert per country)</t>
  </si>
  <si>
    <t>1 National consultant per country for the activity: Develop 6 national demonstration projects based and TDA/SAP priorities + Develop financial plan(15 days per country)</t>
  </si>
  <si>
    <t>1 regional consultant for the activity:  Develop a plan for the replication of demonstration projects and Incorporate the replication plan in the SAP (17 days)</t>
  </si>
  <si>
    <t>Organize starting  regional TDA starting workshop with national, regional and international institutions and stakeholders (part of the budget allocated for the PSC Meeting will also be used)</t>
  </si>
  <si>
    <t>Regional consultant for the activity:  Update and complete the transboundary diagnostic analysis document: Governance Expert ( 30 days +travel)</t>
  </si>
  <si>
    <t>2008 Expenditures</t>
  </si>
  <si>
    <t>2009 Budget</t>
  </si>
  <si>
    <t>2010 Budget</t>
  </si>
  <si>
    <t>2011 Budget</t>
  </si>
  <si>
    <t>2012 Budget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</si>
</sst>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Vrai&quot;;&quot;Vrai&quot;;&quot;Faux&quot;"/>
    <numFmt numFmtId="192" formatCode="&quot;Actif&quot;;&quot;Actif&quot;;&quot;Inactif&quot;"/>
    <numFmt numFmtId="193" formatCode="#,##0\ _€"/>
    <numFmt numFmtId="194" formatCode="#,##0.00\ _€"/>
    <numFmt numFmtId="195" formatCode="&quot;R&quot;\ #,##0;&quot;R&quot;\ \-#,##0"/>
    <numFmt numFmtId="196" formatCode="&quot;R&quot;\ #,##0;[Red]&quot;R&quot;\ \-#,##0"/>
    <numFmt numFmtId="197" formatCode="&quot;R&quot;\ #,##0.00;&quot;R&quot;\ \-#,##0.00"/>
    <numFmt numFmtId="198" formatCode="&quot;R&quot;\ #,##0.00;[Red]&quot;R&quot;\ \-#,##0.00"/>
    <numFmt numFmtId="199" formatCode="_ &quot;R&quot;\ * #,##0_ ;_ &quot;R&quot;\ * \-#,##0_ ;_ &quot;R&quot;\ * &quot;-&quot;_ ;_ @_ "/>
    <numFmt numFmtId="200" formatCode="_ * #,##0_ ;_ * \-#,##0_ ;_ * &quot;-&quot;_ ;_ @_ "/>
    <numFmt numFmtId="201" formatCode="_ &quot;R&quot;\ * #,##0.00_ ;_ &quot;R&quot;\ * \-#,##0.00_ ;_ &quot;R&quot;\ * &quot;-&quot;??_ ;_ @_ "/>
    <numFmt numFmtId="202" formatCode="_ * #,##0.00_ ;_ * \-#,##0.00_ ;_ * &quot;-&quot;??_ ;_ @_ "/>
  </numFmts>
  <fonts count="2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0"/>
    </font>
    <font>
      <b/>
      <sz val="11"/>
      <name val="Arial"/>
      <family val="0"/>
    </font>
    <font>
      <b/>
      <i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Dashed"/>
      <right style="mediumDashed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25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6" fontId="0" fillId="0" borderId="0">
      <alignment/>
      <protection/>
    </xf>
    <xf numFmtId="9" fontId="4" fillId="0" borderId="0" applyFont="0" applyFill="0" applyBorder="0" applyAlignment="0" applyProtection="0"/>
  </cellStyleXfs>
  <cellXfs count="297">
    <xf numFmtId="186" fontId="0" fillId="0" borderId="0" xfId="0" applyAlignment="1">
      <alignment/>
    </xf>
    <xf numFmtId="186" fontId="5" fillId="0" borderId="0" xfId="0" applyFont="1" applyFill="1" applyAlignment="1">
      <alignment/>
    </xf>
    <xf numFmtId="186" fontId="7" fillId="0" borderId="0" xfId="0" applyFont="1" applyFill="1" applyAlignment="1">
      <alignment/>
    </xf>
    <xf numFmtId="186" fontId="8" fillId="0" borderId="0" xfId="0" applyFont="1" applyAlignment="1">
      <alignment/>
    </xf>
    <xf numFmtId="186" fontId="7" fillId="0" borderId="0" xfId="0" applyFont="1" applyFill="1" applyBorder="1" applyAlignment="1">
      <alignment/>
    </xf>
    <xf numFmtId="186" fontId="7" fillId="0" borderId="0" xfId="0" applyFont="1" applyFill="1" applyAlignment="1">
      <alignment horizontal="left"/>
    </xf>
    <xf numFmtId="186" fontId="9" fillId="0" borderId="0" xfId="0" applyFont="1" applyFill="1" applyAlignment="1" applyProtection="1">
      <alignment horizontal="left"/>
      <protection/>
    </xf>
    <xf numFmtId="186" fontId="5" fillId="0" borderId="0" xfId="0" applyFont="1" applyFill="1" applyAlignment="1">
      <alignment horizontal="left"/>
    </xf>
    <xf numFmtId="186" fontId="0" fillId="0" borderId="0" xfId="0" applyAlignment="1">
      <alignment horizontal="left"/>
    </xf>
    <xf numFmtId="186" fontId="7" fillId="0" borderId="0" xfId="0" applyFont="1" applyFill="1" applyAlignment="1">
      <alignment vertical="top"/>
    </xf>
    <xf numFmtId="186" fontId="5" fillId="0" borderId="0" xfId="0" applyFont="1" applyFill="1" applyAlignment="1">
      <alignment vertical="top"/>
    </xf>
    <xf numFmtId="186" fontId="0" fillId="0" borderId="0" xfId="0" applyAlignment="1">
      <alignment vertical="top"/>
    </xf>
    <xf numFmtId="186" fontId="7" fillId="0" borderId="0" xfId="0" applyFont="1" applyFill="1" applyAlignment="1">
      <alignment horizontal="center"/>
    </xf>
    <xf numFmtId="186" fontId="7" fillId="0" borderId="0" xfId="0" applyFont="1" applyFill="1" applyAlignment="1">
      <alignment horizontal="center" vertical="top"/>
    </xf>
    <xf numFmtId="186" fontId="8" fillId="0" borderId="0" xfId="0" applyFont="1" applyAlignment="1">
      <alignment horizontal="center"/>
    </xf>
    <xf numFmtId="186" fontId="7" fillId="0" borderId="1" xfId="0" applyFont="1" applyFill="1" applyBorder="1" applyAlignment="1">
      <alignment/>
    </xf>
    <xf numFmtId="37" fontId="7" fillId="0" borderId="1" xfId="0" applyNumberFormat="1" applyFont="1" applyFill="1" applyBorder="1" applyAlignment="1" applyProtection="1">
      <alignment/>
      <protection/>
    </xf>
    <xf numFmtId="37" fontId="7" fillId="1" borderId="1" xfId="0" applyNumberFormat="1" applyFont="1" applyFill="1" applyBorder="1" applyAlignment="1" applyProtection="1">
      <alignment/>
      <protection/>
    </xf>
    <xf numFmtId="186" fontId="7" fillId="0" borderId="0" xfId="0" applyFont="1" applyFill="1" applyBorder="1" applyAlignment="1">
      <alignment horizontal="left"/>
    </xf>
    <xf numFmtId="186" fontId="7" fillId="0" borderId="0" xfId="0" applyFont="1" applyFill="1" applyBorder="1" applyAlignment="1">
      <alignment vertical="top"/>
    </xf>
    <xf numFmtId="186" fontId="6" fillId="0" borderId="2" xfId="0" applyFont="1" applyFill="1" applyBorder="1" applyAlignment="1" applyProtection="1">
      <alignment horizontal="left"/>
      <protection/>
    </xf>
    <xf numFmtId="186" fontId="6" fillId="0" borderId="3" xfId="0" applyFont="1" applyFill="1" applyBorder="1" applyAlignment="1" applyProtection="1">
      <alignment horizontal="left" vertical="top"/>
      <protection/>
    </xf>
    <xf numFmtId="186" fontId="7" fillId="0" borderId="4" xfId="0" applyFont="1" applyFill="1" applyBorder="1" applyAlignment="1">
      <alignment horizontal="left"/>
    </xf>
    <xf numFmtId="37" fontId="7" fillId="1" borderId="5" xfId="0" applyNumberFormat="1" applyFont="1" applyFill="1" applyBorder="1" applyAlignment="1" applyProtection="1">
      <alignment/>
      <protection/>
    </xf>
    <xf numFmtId="37" fontId="7" fillId="1" borderId="6" xfId="0" applyNumberFormat="1" applyFont="1" applyFill="1" applyBorder="1" applyAlignment="1" applyProtection="1">
      <alignment/>
      <protection/>
    </xf>
    <xf numFmtId="186" fontId="7" fillId="0" borderId="7" xfId="0" applyFont="1" applyFill="1" applyBorder="1" applyAlignment="1">
      <alignment horizontal="left"/>
    </xf>
    <xf numFmtId="186" fontId="7" fillId="0" borderId="8" xfId="0" applyFont="1" applyFill="1" applyBorder="1" applyAlignment="1" applyProtection="1">
      <alignment vertical="top"/>
      <protection/>
    </xf>
    <xf numFmtId="186" fontId="7" fillId="0" borderId="9" xfId="0" applyFont="1" applyFill="1" applyBorder="1" applyAlignment="1">
      <alignment/>
    </xf>
    <xf numFmtId="186" fontId="6" fillId="0" borderId="10" xfId="0" applyFont="1" applyFill="1" applyBorder="1" applyAlignment="1">
      <alignment horizontal="center"/>
    </xf>
    <xf numFmtId="186" fontId="6" fillId="0" borderId="1" xfId="0" applyFont="1" applyFill="1" applyBorder="1" applyAlignment="1">
      <alignment horizontal="center"/>
    </xf>
    <xf numFmtId="186" fontId="7" fillId="2" borderId="11" xfId="0" applyFont="1" applyFill="1" applyBorder="1" applyAlignment="1" applyProtection="1">
      <alignment horizontal="center"/>
      <protection/>
    </xf>
    <xf numFmtId="186" fontId="7" fillId="3" borderId="12" xfId="0" applyFont="1" applyFill="1" applyBorder="1" applyAlignment="1" applyProtection="1">
      <alignment horizontal="center"/>
      <protection/>
    </xf>
    <xf numFmtId="186" fontId="7" fillId="3" borderId="13" xfId="0" applyFont="1" applyFill="1" applyBorder="1" applyAlignment="1" applyProtection="1">
      <alignment horizontal="center"/>
      <protection/>
    </xf>
    <xf numFmtId="186" fontId="6" fillId="1" borderId="5" xfId="0" applyFont="1" applyFill="1" applyBorder="1" applyAlignment="1">
      <alignment horizontal="center"/>
    </xf>
    <xf numFmtId="186" fontId="7" fillId="1" borderId="5" xfId="0" applyFont="1" applyFill="1" applyBorder="1" applyAlignment="1">
      <alignment/>
    </xf>
    <xf numFmtId="186" fontId="7" fillId="1" borderId="7" xfId="0" applyFont="1" applyFill="1" applyBorder="1" applyAlignment="1">
      <alignment horizontal="left"/>
    </xf>
    <xf numFmtId="186" fontId="6" fillId="1" borderId="8" xfId="0" applyFont="1" applyFill="1" applyBorder="1" applyAlignment="1" applyProtection="1">
      <alignment horizontal="left" vertical="top"/>
      <protection/>
    </xf>
    <xf numFmtId="37" fontId="7" fillId="4" borderId="5" xfId="0" applyNumberFormat="1" applyFont="1" applyFill="1" applyBorder="1" applyAlignment="1" applyProtection="1">
      <alignment/>
      <protection/>
    </xf>
    <xf numFmtId="37" fontId="7" fillId="1" borderId="14" xfId="0" applyNumberFormat="1" applyFont="1" applyFill="1" applyBorder="1" applyAlignment="1" applyProtection="1">
      <alignment/>
      <protection/>
    </xf>
    <xf numFmtId="186" fontId="7" fillId="4" borderId="8" xfId="0" applyFont="1" applyFill="1" applyBorder="1" applyAlignment="1" applyProtection="1">
      <alignment vertical="top"/>
      <protection/>
    </xf>
    <xf numFmtId="186" fontId="6" fillId="4" borderId="8" xfId="0" applyFont="1" applyFill="1" applyBorder="1" applyAlignment="1" applyProtection="1">
      <alignment vertical="top"/>
      <protection/>
    </xf>
    <xf numFmtId="186" fontId="6" fillId="4" borderId="8" xfId="0" applyFont="1" applyFill="1" applyBorder="1" applyAlignment="1" applyProtection="1">
      <alignment horizontal="left" vertical="top"/>
      <protection/>
    </xf>
    <xf numFmtId="186" fontId="7" fillId="4" borderId="8" xfId="0" applyFont="1" applyFill="1" applyBorder="1" applyAlignment="1" applyProtection="1">
      <alignment horizontal="left" vertical="top"/>
      <protection/>
    </xf>
    <xf numFmtId="186" fontId="11" fillId="0" borderId="0" xfId="0" applyFont="1" applyFill="1" applyAlignment="1" applyProtection="1">
      <alignment horizontal="left"/>
      <protection/>
    </xf>
    <xf numFmtId="186" fontId="6" fillId="0" borderId="9" xfId="0" applyFont="1" applyFill="1" applyBorder="1" applyAlignment="1">
      <alignment horizontal="center"/>
    </xf>
    <xf numFmtId="186" fontId="7" fillId="3" borderId="15" xfId="0" applyFont="1" applyFill="1" applyBorder="1" applyAlignment="1" applyProtection="1">
      <alignment horizontal="center"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7" fillId="1" borderId="9" xfId="0" applyNumberFormat="1" applyFont="1" applyFill="1" applyBorder="1" applyAlignment="1" applyProtection="1">
      <alignment/>
      <protection/>
    </xf>
    <xf numFmtId="186" fontId="7" fillId="4" borderId="5" xfId="0" applyFont="1" applyFill="1" applyBorder="1" applyAlignment="1">
      <alignment/>
    </xf>
    <xf numFmtId="186" fontId="6" fillId="1" borderId="16" xfId="0" applyFont="1" applyFill="1" applyBorder="1" applyAlignment="1" applyProtection="1">
      <alignment horizontal="left"/>
      <protection/>
    </xf>
    <xf numFmtId="186" fontId="6" fillId="1" borderId="17" xfId="0" applyFont="1" applyFill="1" applyBorder="1" applyAlignment="1" applyProtection="1">
      <alignment horizontal="left" vertical="top"/>
      <protection/>
    </xf>
    <xf numFmtId="186" fontId="7" fillId="0" borderId="18" xfId="0" applyFont="1" applyFill="1" applyBorder="1" applyAlignment="1">
      <alignment/>
    </xf>
    <xf numFmtId="186" fontId="7" fillId="1" borderId="19" xfId="0" applyFont="1" applyFill="1" applyBorder="1" applyAlignment="1">
      <alignment/>
    </xf>
    <xf numFmtId="186" fontId="7" fillId="0" borderId="20" xfId="0" applyFont="1" applyFill="1" applyBorder="1" applyAlignment="1">
      <alignment/>
    </xf>
    <xf numFmtId="186" fontId="7" fillId="0" borderId="21" xfId="0" applyFont="1" applyFill="1" applyBorder="1" applyAlignment="1">
      <alignment horizontal="left"/>
    </xf>
    <xf numFmtId="186" fontId="6" fillId="0" borderId="22" xfId="0" applyFont="1" applyFill="1" applyBorder="1" applyAlignment="1" applyProtection="1">
      <alignment vertical="top"/>
      <protection/>
    </xf>
    <xf numFmtId="186" fontId="7" fillId="0" borderId="23" xfId="0" applyFont="1" applyFill="1" applyBorder="1" applyAlignment="1">
      <alignment/>
    </xf>
    <xf numFmtId="186" fontId="7" fillId="1" borderId="24" xfId="0" applyFont="1" applyFill="1" applyBorder="1" applyAlignment="1">
      <alignment/>
    </xf>
    <xf numFmtId="186" fontId="7" fillId="0" borderId="25" xfId="0" applyFont="1" applyFill="1" applyBorder="1" applyAlignment="1">
      <alignment/>
    </xf>
    <xf numFmtId="186" fontId="7" fillId="0" borderId="26" xfId="0" applyFont="1" applyFill="1" applyBorder="1" applyAlignment="1">
      <alignment horizontal="left"/>
    </xf>
    <xf numFmtId="186" fontId="6" fillId="0" borderId="27" xfId="0" applyFont="1" applyFill="1" applyBorder="1" applyAlignment="1" applyProtection="1">
      <alignment vertical="top"/>
      <protection/>
    </xf>
    <xf numFmtId="186" fontId="7" fillId="0" borderId="13" xfId="0" applyFont="1" applyFill="1" applyBorder="1" applyAlignment="1">
      <alignment/>
    </xf>
    <xf numFmtId="186" fontId="7" fillId="1" borderId="11" xfId="0" applyFont="1" applyFill="1" applyBorder="1" applyAlignment="1">
      <alignment/>
    </xf>
    <xf numFmtId="186" fontId="7" fillId="0" borderId="15" xfId="0" applyFont="1" applyFill="1" applyBorder="1" applyAlignment="1">
      <alignment/>
    </xf>
    <xf numFmtId="37" fontId="7" fillId="1" borderId="11" xfId="0" applyNumberFormat="1" applyFont="1" applyFill="1" applyBorder="1" applyAlignment="1" applyProtection="1">
      <alignment/>
      <protection/>
    </xf>
    <xf numFmtId="37" fontId="7" fillId="1" borderId="24" xfId="0" applyNumberFormat="1" applyFont="1" applyFill="1" applyBorder="1" applyAlignment="1" applyProtection="1">
      <alignment/>
      <protection/>
    </xf>
    <xf numFmtId="186" fontId="6" fillId="4" borderId="27" xfId="0" applyFont="1" applyFill="1" applyBorder="1" applyAlignment="1" applyProtection="1">
      <alignment vertical="top"/>
      <protection/>
    </xf>
    <xf numFmtId="186" fontId="6" fillId="4" borderId="22" xfId="0" applyFont="1" applyFill="1" applyBorder="1" applyAlignment="1" applyProtection="1">
      <alignment vertical="top"/>
      <protection/>
    </xf>
    <xf numFmtId="37" fontId="7" fillId="0" borderId="13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23" xfId="0" applyNumberFormat="1" applyFont="1" applyFill="1" applyBorder="1" applyAlignment="1" applyProtection="1">
      <alignment/>
      <protection/>
    </xf>
    <xf numFmtId="37" fontId="7" fillId="0" borderId="25" xfId="0" applyNumberFormat="1" applyFont="1" applyFill="1" applyBorder="1" applyAlignment="1" applyProtection="1">
      <alignment/>
      <protection/>
    </xf>
    <xf numFmtId="186" fontId="6" fillId="4" borderId="27" xfId="0" applyFont="1" applyFill="1" applyBorder="1" applyAlignment="1" applyProtection="1">
      <alignment horizontal="left" vertical="top"/>
      <protection/>
    </xf>
    <xf numFmtId="186" fontId="6" fillId="4" borderId="22" xfId="0" applyFont="1" applyFill="1" applyBorder="1" applyAlignment="1" applyProtection="1">
      <alignment horizontal="left" vertical="top"/>
      <protection/>
    </xf>
    <xf numFmtId="186" fontId="6" fillId="0" borderId="27" xfId="0" applyFont="1" applyFill="1" applyBorder="1" applyAlignment="1" applyProtection="1">
      <alignment horizontal="left" vertical="top"/>
      <protection/>
    </xf>
    <xf numFmtId="186" fontId="6" fillId="0" borderId="22" xfId="0" applyFont="1" applyFill="1" applyBorder="1" applyAlignment="1" applyProtection="1">
      <alignment horizontal="left" vertical="top"/>
      <protection/>
    </xf>
    <xf numFmtId="186" fontId="6" fillId="0" borderId="0" xfId="0" applyFont="1" applyFill="1" applyBorder="1" applyAlignment="1" applyProtection="1">
      <alignment vertical="top"/>
      <protection/>
    </xf>
    <xf numFmtId="186" fontId="7" fillId="0" borderId="28" xfId="0" applyFont="1" applyFill="1" applyBorder="1" applyAlignment="1">
      <alignment/>
    </xf>
    <xf numFmtId="186" fontId="7" fillId="1" borderId="29" xfId="0" applyFont="1" applyFill="1" applyBorder="1" applyAlignment="1">
      <alignment/>
    </xf>
    <xf numFmtId="186" fontId="7" fillId="0" borderId="30" xfId="0" applyFont="1" applyFill="1" applyBorder="1" applyAlignment="1">
      <alignment/>
    </xf>
    <xf numFmtId="186" fontId="6" fillId="0" borderId="26" xfId="0" applyFont="1" applyFill="1" applyBorder="1" applyAlignment="1" applyProtection="1">
      <alignment horizontal="left"/>
      <protection/>
    </xf>
    <xf numFmtId="37" fontId="7" fillId="0" borderId="28" xfId="0" applyNumberFormat="1" applyFont="1" applyFill="1" applyBorder="1" applyAlignment="1" applyProtection="1">
      <alignment/>
      <protection/>
    </xf>
    <xf numFmtId="37" fontId="7" fillId="1" borderId="29" xfId="0" applyNumberFormat="1" applyFont="1" applyFill="1" applyBorder="1" applyAlignment="1" applyProtection="1">
      <alignment/>
      <protection/>
    </xf>
    <xf numFmtId="37" fontId="7" fillId="0" borderId="30" xfId="0" applyNumberFormat="1" applyFont="1" applyFill="1" applyBorder="1" applyAlignment="1" applyProtection="1">
      <alignment/>
      <protection/>
    </xf>
    <xf numFmtId="186" fontId="6" fillId="0" borderId="4" xfId="0" applyFont="1" applyFill="1" applyBorder="1" applyAlignment="1" applyProtection="1">
      <alignment horizontal="left"/>
      <protection/>
    </xf>
    <xf numFmtId="186" fontId="6" fillId="0" borderId="0" xfId="0" applyFont="1" applyFill="1" applyBorder="1" applyAlignment="1" applyProtection="1">
      <alignment horizontal="left" vertical="top"/>
      <protection/>
    </xf>
    <xf numFmtId="186" fontId="6" fillId="0" borderId="27" xfId="0" applyFont="1" applyFill="1" applyBorder="1" applyAlignment="1">
      <alignment vertical="top"/>
    </xf>
    <xf numFmtId="186" fontId="6" fillId="0" borderId="12" xfId="0" applyFont="1" applyFill="1" applyBorder="1" applyAlignment="1">
      <alignment horizontal="center"/>
    </xf>
    <xf numFmtId="186" fontId="6" fillId="1" borderId="11" xfId="0" applyFont="1" applyFill="1" applyBorder="1" applyAlignment="1">
      <alignment horizontal="center"/>
    </xf>
    <xf numFmtId="186" fontId="7" fillId="0" borderId="13" xfId="0" applyFont="1" applyFill="1" applyBorder="1" applyAlignment="1">
      <alignment horizontal="center"/>
    </xf>
    <xf numFmtId="186" fontId="7" fillId="0" borderId="0" xfId="0" applyFont="1" applyFill="1" applyAlignment="1">
      <alignment horizontal="center" vertical="top" wrapText="1"/>
    </xf>
    <xf numFmtId="186" fontId="6" fillId="0" borderId="31" xfId="0" applyFont="1" applyFill="1" applyBorder="1" applyAlignment="1">
      <alignment horizontal="center" vertical="top" wrapText="1"/>
    </xf>
    <xf numFmtId="186" fontId="6" fillId="0" borderId="32" xfId="0" applyFont="1" applyFill="1" applyBorder="1" applyAlignment="1">
      <alignment horizontal="center" vertical="top" wrapText="1"/>
    </xf>
    <xf numFmtId="186" fontId="6" fillId="1" borderId="33" xfId="0" applyFont="1" applyFill="1" applyBorder="1" applyAlignment="1">
      <alignment horizontal="center" vertical="top" wrapText="1"/>
    </xf>
    <xf numFmtId="186" fontId="8" fillId="0" borderId="0" xfId="0" applyFont="1" applyAlignment="1">
      <alignment horizontal="center" vertical="top" wrapText="1"/>
    </xf>
    <xf numFmtId="186" fontId="16" fillId="0" borderId="34" xfId="0" applyFont="1" applyBorder="1" applyAlignment="1">
      <alignment vertical="top" wrapText="1"/>
    </xf>
    <xf numFmtId="186" fontId="7" fillId="0" borderId="0" xfId="0" applyFont="1" applyFill="1" applyAlignment="1">
      <alignment vertical="justify" wrapText="1"/>
    </xf>
    <xf numFmtId="186" fontId="7" fillId="0" borderId="35" xfId="0" applyFont="1" applyFill="1" applyBorder="1" applyAlignment="1">
      <alignment vertical="justify" wrapText="1"/>
    </xf>
    <xf numFmtId="186" fontId="6" fillId="0" borderId="3" xfId="0" applyFont="1" applyFill="1" applyBorder="1" applyAlignment="1">
      <alignment vertical="justify" wrapText="1"/>
    </xf>
    <xf numFmtId="186" fontId="6" fillId="0" borderId="30" xfId="0" applyFont="1" applyFill="1" applyBorder="1" applyAlignment="1" applyProtection="1">
      <alignment vertical="justify" wrapText="1"/>
      <protection/>
    </xf>
    <xf numFmtId="186" fontId="6" fillId="0" borderId="25" xfId="0" applyFont="1" applyFill="1" applyBorder="1" applyAlignment="1" applyProtection="1">
      <alignment vertical="justify" wrapText="1"/>
      <protection/>
    </xf>
    <xf numFmtId="186" fontId="7" fillId="0" borderId="9" xfId="0" applyFont="1" applyFill="1" applyBorder="1" applyAlignment="1">
      <alignment vertical="justify" wrapText="1"/>
    </xf>
    <xf numFmtId="186" fontId="7" fillId="4" borderId="9" xfId="0" applyFont="1" applyFill="1" applyBorder="1" applyAlignment="1" applyProtection="1">
      <alignment vertical="justify" wrapText="1"/>
      <protection/>
    </xf>
    <xf numFmtId="186" fontId="6" fillId="0" borderId="15" xfId="0" applyFont="1" applyFill="1" applyBorder="1" applyAlignment="1" applyProtection="1">
      <alignment vertical="justify" wrapText="1"/>
      <protection/>
    </xf>
    <xf numFmtId="186" fontId="6" fillId="4" borderId="15" xfId="0" applyFont="1" applyFill="1" applyBorder="1" applyAlignment="1" applyProtection="1">
      <alignment vertical="justify" wrapText="1"/>
      <protection/>
    </xf>
    <xf numFmtId="186" fontId="7" fillId="4" borderId="9" xfId="0" applyFont="1" applyFill="1" applyBorder="1" applyAlignment="1">
      <alignment vertical="justify" wrapText="1"/>
    </xf>
    <xf numFmtId="186" fontId="6" fillId="4" borderId="9" xfId="0" applyFont="1" applyFill="1" applyBorder="1" applyAlignment="1" applyProtection="1">
      <alignment vertical="justify" wrapText="1"/>
      <protection/>
    </xf>
    <xf numFmtId="186" fontId="6" fillId="1" borderId="9" xfId="0" applyFont="1" applyFill="1" applyBorder="1" applyAlignment="1" applyProtection="1">
      <alignment vertical="justify" wrapText="1"/>
      <protection/>
    </xf>
    <xf numFmtId="186" fontId="7" fillId="0" borderId="15" xfId="0" applyFont="1" applyFill="1" applyBorder="1" applyAlignment="1">
      <alignment vertical="justify" wrapText="1"/>
    </xf>
    <xf numFmtId="186" fontId="6" fillId="4" borderId="25" xfId="0" applyFont="1" applyFill="1" applyBorder="1" applyAlignment="1" applyProtection="1">
      <alignment vertical="justify" wrapText="1"/>
      <protection/>
    </xf>
    <xf numFmtId="186" fontId="7" fillId="0" borderId="30" xfId="0" applyFont="1" applyFill="1" applyBorder="1" applyAlignment="1">
      <alignment vertical="justify" wrapText="1"/>
    </xf>
    <xf numFmtId="186" fontId="7" fillId="0" borderId="9" xfId="0" applyFont="1" applyFill="1" applyBorder="1" applyAlignment="1" applyProtection="1">
      <alignment vertical="justify" wrapText="1"/>
      <protection/>
    </xf>
    <xf numFmtId="186" fontId="7" fillId="0" borderId="0" xfId="0" applyFont="1" applyFill="1" applyBorder="1" applyAlignment="1">
      <alignment vertical="justify" wrapText="1"/>
    </xf>
    <xf numFmtId="186" fontId="7" fillId="1" borderId="36" xfId="0" applyFont="1" applyFill="1" applyBorder="1" applyAlignment="1">
      <alignment vertical="justify" wrapText="1"/>
    </xf>
    <xf numFmtId="186" fontId="5" fillId="0" borderId="0" xfId="0" applyFont="1" applyFill="1" applyAlignment="1">
      <alignment vertical="justify" wrapText="1"/>
    </xf>
    <xf numFmtId="186" fontId="0" fillId="0" borderId="0" xfId="0" applyAlignment="1">
      <alignment vertical="justify" wrapText="1"/>
    </xf>
    <xf numFmtId="186" fontId="7" fillId="0" borderId="0" xfId="0" applyFont="1" applyFill="1" applyAlignment="1">
      <alignment horizontal="justify" wrapText="1"/>
    </xf>
    <xf numFmtId="186" fontId="6" fillId="0" borderId="3" xfId="0" applyFont="1" applyFill="1" applyBorder="1" applyAlignment="1">
      <alignment horizontal="justify" wrapText="1"/>
    </xf>
    <xf numFmtId="186" fontId="6" fillId="0" borderId="30" xfId="0" applyFont="1" applyFill="1" applyBorder="1" applyAlignment="1" applyProtection="1">
      <alignment horizontal="justify" wrapText="1"/>
      <protection/>
    </xf>
    <xf numFmtId="186" fontId="6" fillId="0" borderId="25" xfId="0" applyFont="1" applyFill="1" applyBorder="1" applyAlignment="1" applyProtection="1">
      <alignment horizontal="justify" wrapText="1"/>
      <protection/>
    </xf>
    <xf numFmtId="186" fontId="7" fillId="0" borderId="9" xfId="0" applyFont="1" applyFill="1" applyBorder="1" applyAlignment="1">
      <alignment horizontal="justify" wrapText="1"/>
    </xf>
    <xf numFmtId="186" fontId="7" fillId="4" borderId="9" xfId="0" applyFont="1" applyFill="1" applyBorder="1" applyAlignment="1" applyProtection="1">
      <alignment horizontal="justify" wrapText="1"/>
      <protection/>
    </xf>
    <xf numFmtId="186" fontId="6" fillId="0" borderId="15" xfId="0" applyFont="1" applyFill="1" applyBorder="1" applyAlignment="1" applyProtection="1">
      <alignment horizontal="justify" wrapText="1"/>
      <protection/>
    </xf>
    <xf numFmtId="186" fontId="6" fillId="4" borderId="15" xfId="0" applyFont="1" applyFill="1" applyBorder="1" applyAlignment="1" applyProtection="1">
      <alignment horizontal="justify" wrapText="1"/>
      <protection/>
    </xf>
    <xf numFmtId="186" fontId="7" fillId="4" borderId="9" xfId="0" applyFont="1" applyFill="1" applyBorder="1" applyAlignment="1">
      <alignment horizontal="justify" wrapText="1"/>
    </xf>
    <xf numFmtId="186" fontId="6" fillId="4" borderId="9" xfId="0" applyFont="1" applyFill="1" applyBorder="1" applyAlignment="1" applyProtection="1">
      <alignment horizontal="justify" wrapText="1"/>
      <protection/>
    </xf>
    <xf numFmtId="186" fontId="6" fillId="1" borderId="9" xfId="0" applyFont="1" applyFill="1" applyBorder="1" applyAlignment="1" applyProtection="1">
      <alignment horizontal="justify" wrapText="1"/>
      <protection/>
    </xf>
    <xf numFmtId="186" fontId="7" fillId="0" borderId="15" xfId="0" applyFont="1" applyFill="1" applyBorder="1" applyAlignment="1">
      <alignment horizontal="justify" wrapText="1"/>
    </xf>
    <xf numFmtId="186" fontId="6" fillId="4" borderId="25" xfId="0" applyFont="1" applyFill="1" applyBorder="1" applyAlignment="1" applyProtection="1">
      <alignment horizontal="justify" wrapText="1"/>
      <protection/>
    </xf>
    <xf numFmtId="186" fontId="7" fillId="0" borderId="30" xfId="0" applyFont="1" applyFill="1" applyBorder="1" applyAlignment="1">
      <alignment horizontal="justify" wrapText="1"/>
    </xf>
    <xf numFmtId="186" fontId="7" fillId="0" borderId="9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>
      <alignment horizontal="justify" wrapText="1"/>
    </xf>
    <xf numFmtId="186" fontId="7" fillId="1" borderId="36" xfId="0" applyFont="1" applyFill="1" applyBorder="1" applyAlignment="1">
      <alignment horizontal="justify" wrapText="1"/>
    </xf>
    <xf numFmtId="186" fontId="5" fillId="0" borderId="0" xfId="0" applyFont="1" applyFill="1" applyAlignment="1">
      <alignment horizontal="justify" wrapText="1"/>
    </xf>
    <xf numFmtId="186" fontId="0" fillId="0" borderId="0" xfId="0" applyAlignment="1">
      <alignment horizontal="justify" wrapText="1"/>
    </xf>
    <xf numFmtId="193" fontId="7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193" fontId="6" fillId="0" borderId="31" xfId="0" applyNumberFormat="1" applyFont="1" applyFill="1" applyBorder="1" applyAlignment="1">
      <alignment horizontal="center" vertical="top" wrapText="1"/>
    </xf>
    <xf numFmtId="193" fontId="6" fillId="0" borderId="32" xfId="0" applyNumberFormat="1" applyFont="1" applyFill="1" applyBorder="1" applyAlignment="1">
      <alignment horizontal="center" vertical="top" wrapText="1"/>
    </xf>
    <xf numFmtId="193" fontId="6" fillId="0" borderId="12" xfId="0" applyNumberFormat="1" applyFont="1" applyFill="1" applyBorder="1" applyAlignment="1">
      <alignment horizontal="center"/>
    </xf>
    <xf numFmtId="193" fontId="7" fillId="0" borderId="13" xfId="0" applyNumberFormat="1" applyFont="1" applyFill="1" applyBorder="1" applyAlignment="1">
      <alignment horizontal="center"/>
    </xf>
    <xf numFmtId="193" fontId="7" fillId="3" borderId="12" xfId="0" applyNumberFormat="1" applyFont="1" applyFill="1" applyBorder="1" applyAlignment="1" applyProtection="1">
      <alignment horizontal="center"/>
      <protection/>
    </xf>
    <xf numFmtId="193" fontId="7" fillId="3" borderId="13" xfId="0" applyNumberFormat="1" applyFont="1" applyFill="1" applyBorder="1" applyAlignment="1" applyProtection="1">
      <alignment horizontal="center"/>
      <protection/>
    </xf>
    <xf numFmtId="193" fontId="7" fillId="0" borderId="18" xfId="0" applyNumberFormat="1" applyFont="1" applyFill="1" applyBorder="1" applyAlignment="1">
      <alignment/>
    </xf>
    <xf numFmtId="193" fontId="7" fillId="0" borderId="28" xfId="0" applyNumberFormat="1" applyFont="1" applyFill="1" applyBorder="1" applyAlignment="1">
      <alignment/>
    </xf>
    <xf numFmtId="193" fontId="7" fillId="0" borderId="23" xfId="0" applyNumberFormat="1" applyFont="1" applyFill="1" applyBorder="1" applyAlignment="1">
      <alignment/>
    </xf>
    <xf numFmtId="193" fontId="8" fillId="0" borderId="0" xfId="0" applyNumberFormat="1" applyFont="1" applyAlignment="1">
      <alignment/>
    </xf>
    <xf numFmtId="193" fontId="7" fillId="0" borderId="1" xfId="0" applyNumberFormat="1" applyFont="1" applyFill="1" applyBorder="1" applyAlignment="1" applyProtection="1">
      <alignment/>
      <protection/>
    </xf>
    <xf numFmtId="193" fontId="7" fillId="1" borderId="1" xfId="0" applyNumberFormat="1" applyFont="1" applyFill="1" applyBorder="1" applyAlignment="1" applyProtection="1">
      <alignment/>
      <protection/>
    </xf>
    <xf numFmtId="193" fontId="7" fillId="0" borderId="13" xfId="0" applyNumberFormat="1" applyFont="1" applyFill="1" applyBorder="1" applyAlignment="1">
      <alignment/>
    </xf>
    <xf numFmtId="193" fontId="7" fillId="0" borderId="1" xfId="0" applyNumberFormat="1" applyFont="1" applyFill="1" applyBorder="1" applyAlignment="1">
      <alignment/>
    </xf>
    <xf numFmtId="193" fontId="7" fillId="0" borderId="28" xfId="0" applyNumberFormat="1" applyFont="1" applyFill="1" applyBorder="1" applyAlignment="1" applyProtection="1">
      <alignment/>
      <protection/>
    </xf>
    <xf numFmtId="193" fontId="7" fillId="0" borderId="23" xfId="0" applyNumberFormat="1" applyFont="1" applyFill="1" applyBorder="1" applyAlignment="1" applyProtection="1">
      <alignment/>
      <protection/>
    </xf>
    <xf numFmtId="193" fontId="7" fillId="0" borderId="13" xfId="0" applyNumberFormat="1" applyFont="1" applyFill="1" applyBorder="1" applyAlignment="1" applyProtection="1">
      <alignment/>
      <protection/>
    </xf>
    <xf numFmtId="193" fontId="7" fillId="5" borderId="1" xfId="0" applyNumberFormat="1" applyFont="1" applyFill="1" applyBorder="1" applyAlignment="1">
      <alignment/>
    </xf>
    <xf numFmtId="193" fontId="7" fillId="1" borderId="6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>
      <alignment/>
    </xf>
    <xf numFmtId="186" fontId="7" fillId="5" borderId="9" xfId="0" applyFont="1" applyFill="1" applyBorder="1" applyAlignment="1" applyProtection="1">
      <alignment vertical="justify" wrapText="1"/>
      <protection/>
    </xf>
    <xf numFmtId="186" fontId="17" fillId="0" borderId="0" xfId="0" applyFont="1" applyAlignment="1">
      <alignment/>
    </xf>
    <xf numFmtId="186" fontId="18" fillId="0" borderId="37" xfId="0" applyFont="1" applyBorder="1" applyAlignment="1">
      <alignment/>
    </xf>
    <xf numFmtId="186" fontId="17" fillId="0" borderId="37" xfId="0" applyFont="1" applyBorder="1" applyAlignment="1">
      <alignment/>
    </xf>
    <xf numFmtId="193" fontId="17" fillId="0" borderId="37" xfId="0" applyNumberFormat="1" applyFont="1" applyBorder="1" applyAlignment="1">
      <alignment/>
    </xf>
    <xf numFmtId="194" fontId="19" fillId="0" borderId="0" xfId="0" applyNumberFormat="1" applyFont="1" applyAlignment="1">
      <alignment/>
    </xf>
    <xf numFmtId="193" fontId="17" fillId="5" borderId="37" xfId="0" applyNumberFormat="1" applyFont="1" applyFill="1" applyBorder="1" applyAlignment="1">
      <alignment/>
    </xf>
    <xf numFmtId="193" fontId="17" fillId="6" borderId="37" xfId="0" applyNumberFormat="1" applyFont="1" applyFill="1" applyBorder="1" applyAlignment="1">
      <alignment/>
    </xf>
    <xf numFmtId="193" fontId="18" fillId="0" borderId="37" xfId="0" applyNumberFormat="1" applyFont="1" applyBorder="1" applyAlignment="1">
      <alignment/>
    </xf>
    <xf numFmtId="186" fontId="7" fillId="0" borderId="0" xfId="23" applyFont="1" applyFill="1" applyAlignment="1">
      <alignment vertical="justify" wrapText="1"/>
      <protection/>
    </xf>
    <xf numFmtId="186" fontId="7" fillId="7" borderId="7" xfId="0" applyFont="1" applyFill="1" applyBorder="1" applyAlignment="1">
      <alignment horizontal="left"/>
    </xf>
    <xf numFmtId="186" fontId="7" fillId="7" borderId="8" xfId="0" applyFont="1" applyFill="1" applyBorder="1" applyAlignment="1" applyProtection="1">
      <alignment vertical="top"/>
      <protection/>
    </xf>
    <xf numFmtId="37" fontId="7" fillId="7" borderId="1" xfId="0" applyNumberFormat="1" applyFont="1" applyFill="1" applyBorder="1" applyAlignment="1" applyProtection="1">
      <alignment/>
      <protection/>
    </xf>
    <xf numFmtId="37" fontId="7" fillId="7" borderId="5" xfId="0" applyNumberFormat="1" applyFont="1" applyFill="1" applyBorder="1" applyAlignment="1" applyProtection="1">
      <alignment/>
      <protection/>
    </xf>
    <xf numFmtId="186" fontId="8" fillId="7" borderId="0" xfId="0" applyFont="1" applyFill="1" applyAlignment="1">
      <alignment/>
    </xf>
    <xf numFmtId="37" fontId="7" fillId="5" borderId="1" xfId="0" applyNumberFormat="1" applyFont="1" applyFill="1" applyBorder="1" applyAlignment="1" applyProtection="1">
      <alignment/>
      <protection/>
    </xf>
    <xf numFmtId="186" fontId="7" fillId="7" borderId="9" xfId="0" applyFont="1" applyFill="1" applyBorder="1" applyAlignment="1" applyProtection="1">
      <alignment horizontal="justify" wrapText="1"/>
      <protection/>
    </xf>
    <xf numFmtId="193" fontId="7" fillId="7" borderId="1" xfId="0" applyNumberFormat="1" applyFont="1" applyFill="1" applyBorder="1" applyAlignment="1">
      <alignment/>
    </xf>
    <xf numFmtId="193" fontId="7" fillId="7" borderId="1" xfId="0" applyNumberFormat="1" applyFont="1" applyFill="1" applyBorder="1" applyAlignment="1" applyProtection="1">
      <alignment/>
      <protection/>
    </xf>
    <xf numFmtId="37" fontId="7" fillId="8" borderId="5" xfId="0" applyNumberFormat="1" applyFont="1" applyFill="1" applyBorder="1" applyAlignment="1" applyProtection="1">
      <alignment/>
      <protection/>
    </xf>
    <xf numFmtId="37" fontId="7" fillId="0" borderId="5" xfId="0" applyNumberFormat="1" applyFont="1" applyFill="1" applyBorder="1" applyAlignment="1" applyProtection="1">
      <alignment/>
      <protection/>
    </xf>
    <xf numFmtId="186" fontId="8" fillId="0" borderId="0" xfId="0" applyFont="1" applyFill="1" applyAlignment="1">
      <alignment/>
    </xf>
    <xf numFmtId="186" fontId="7" fillId="0" borderId="0" xfId="0" applyFont="1" applyAlignment="1">
      <alignment/>
    </xf>
    <xf numFmtId="0" fontId="4" fillId="0" borderId="0" xfId="22">
      <alignment/>
      <protection/>
    </xf>
    <xf numFmtId="0" fontId="16" fillId="0" borderId="37" xfId="22" applyFont="1" applyFill="1" applyBorder="1" applyAlignment="1">
      <alignment horizontal="center"/>
      <protection/>
    </xf>
    <xf numFmtId="0" fontId="16" fillId="0" borderId="37" xfId="22" applyFont="1" applyFill="1" applyBorder="1" applyAlignment="1">
      <alignment horizontal="center" wrapText="1"/>
      <protection/>
    </xf>
    <xf numFmtId="0" fontId="20" fillId="0" borderId="37" xfId="22" applyFont="1" applyFill="1" applyBorder="1" applyAlignment="1">
      <alignment wrapText="1"/>
      <protection/>
    </xf>
    <xf numFmtId="0" fontId="21" fillId="0" borderId="37" xfId="22" applyFont="1" applyFill="1" applyBorder="1" applyAlignment="1">
      <alignment wrapText="1"/>
      <protection/>
    </xf>
    <xf numFmtId="3" fontId="4" fillId="0" borderId="37" xfId="22" applyNumberFormat="1" applyFont="1" applyFill="1" applyBorder="1" applyAlignment="1">
      <alignment horizontal="center"/>
      <protection/>
    </xf>
    <xf numFmtId="3" fontId="4" fillId="0" borderId="37" xfId="22" applyNumberFormat="1" applyFont="1" applyFill="1" applyBorder="1" applyAlignment="1">
      <alignment horizontal="right"/>
      <protection/>
    </xf>
    <xf numFmtId="0" fontId="22" fillId="0" borderId="37" xfId="22" applyFont="1" applyFill="1" applyBorder="1">
      <alignment/>
      <protection/>
    </xf>
    <xf numFmtId="3" fontId="1" fillId="0" borderId="37" xfId="22" applyNumberFormat="1" applyFont="1" applyFill="1" applyBorder="1" applyAlignment="1">
      <alignment horizontal="center"/>
      <protection/>
    </xf>
    <xf numFmtId="0" fontId="22" fillId="0" borderId="0" xfId="22" applyFont="1" applyFill="1" applyBorder="1">
      <alignment/>
      <protection/>
    </xf>
    <xf numFmtId="3" fontId="1" fillId="0" borderId="0" xfId="22" applyNumberFormat="1" applyFont="1" applyFill="1" applyBorder="1" applyAlignment="1">
      <alignment horizontal="center"/>
      <protection/>
    </xf>
    <xf numFmtId="0" fontId="23" fillId="0" borderId="37" xfId="22" applyFont="1" applyFill="1" applyBorder="1" applyAlignment="1">
      <alignment horizontal="center"/>
      <protection/>
    </xf>
    <xf numFmtId="0" fontId="20" fillId="0" borderId="37" xfId="22" applyFont="1" applyFill="1" applyBorder="1" applyAlignment="1">
      <alignment wrapText="1"/>
      <protection/>
    </xf>
    <xf numFmtId="0" fontId="4" fillId="0" borderId="37" xfId="22" applyFont="1" applyFill="1" applyBorder="1" applyAlignment="1">
      <alignment horizontal="right"/>
      <protection/>
    </xf>
    <xf numFmtId="0" fontId="24" fillId="0" borderId="37" xfId="22" applyFont="1" applyFill="1" applyBorder="1" applyAlignment="1">
      <alignment horizontal="center" wrapText="1"/>
      <protection/>
    </xf>
    <xf numFmtId="0" fontId="4" fillId="0" borderId="37" xfId="22" applyFont="1" applyFill="1" applyBorder="1" applyAlignment="1">
      <alignment horizontal="center"/>
      <protection/>
    </xf>
    <xf numFmtId="0" fontId="1" fillId="0" borderId="0" xfId="22" applyFont="1" applyFill="1">
      <alignment/>
      <protection/>
    </xf>
    <xf numFmtId="0" fontId="4" fillId="0" borderId="0" xfId="22" applyFill="1">
      <alignment/>
      <protection/>
    </xf>
    <xf numFmtId="3" fontId="4" fillId="0" borderId="0" xfId="22" applyNumberFormat="1" applyFont="1" applyFill="1" applyBorder="1" applyAlignment="1">
      <alignment horizontal="center"/>
      <protection/>
    </xf>
    <xf numFmtId="0" fontId="1" fillId="0" borderId="37" xfId="22" applyFont="1" applyFill="1" applyBorder="1" applyAlignment="1">
      <alignment horizontal="right"/>
      <protection/>
    </xf>
    <xf numFmtId="0" fontId="4" fillId="0" borderId="0" xfId="22" applyFont="1" applyFill="1">
      <alignment/>
      <protection/>
    </xf>
    <xf numFmtId="0" fontId="4" fillId="0" borderId="0" xfId="22" applyFill="1" applyAlignment="1">
      <alignment wrapText="1"/>
      <protection/>
    </xf>
    <xf numFmtId="0" fontId="4" fillId="0" borderId="0" xfId="22" applyAlignment="1">
      <alignment wrapText="1"/>
      <protection/>
    </xf>
    <xf numFmtId="0" fontId="8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8" fillId="0" borderId="0" xfId="22" applyFont="1" applyFill="1" applyAlignment="1">
      <alignment wrapText="1"/>
      <protection/>
    </xf>
    <xf numFmtId="0" fontId="10" fillId="0" borderId="0" xfId="22" applyFont="1" applyFill="1" applyAlignment="1">
      <alignment wrapText="1"/>
      <protection/>
    </xf>
    <xf numFmtId="3" fontId="8" fillId="0" borderId="0" xfId="22" applyNumberFormat="1" applyFont="1" applyFill="1">
      <alignment/>
      <protection/>
    </xf>
    <xf numFmtId="3" fontId="4" fillId="5" borderId="37" xfId="22" applyNumberFormat="1" applyFont="1" applyFill="1" applyBorder="1" applyAlignment="1">
      <alignment horizontal="right"/>
      <protection/>
    </xf>
    <xf numFmtId="3" fontId="4" fillId="7" borderId="37" xfId="22" applyNumberFormat="1" applyFont="1" applyFill="1" applyBorder="1" applyAlignment="1">
      <alignment horizontal="right"/>
      <protection/>
    </xf>
    <xf numFmtId="3" fontId="1" fillId="5" borderId="37" xfId="22" applyNumberFormat="1" applyFont="1" applyFill="1" applyBorder="1" applyAlignment="1">
      <alignment horizontal="center"/>
      <protection/>
    </xf>
    <xf numFmtId="0" fontId="21" fillId="5" borderId="37" xfId="22" applyFont="1" applyFill="1" applyBorder="1" applyAlignment="1">
      <alignment wrapText="1"/>
      <protection/>
    </xf>
    <xf numFmtId="3" fontId="4" fillId="5" borderId="37" xfId="22" applyNumberFormat="1" applyFont="1" applyFill="1" applyBorder="1" applyAlignment="1">
      <alignment horizontal="center"/>
      <protection/>
    </xf>
    <xf numFmtId="0" fontId="22" fillId="5" borderId="37" xfId="22" applyFont="1" applyFill="1" applyBorder="1">
      <alignment/>
      <protection/>
    </xf>
    <xf numFmtId="3" fontId="10" fillId="0" borderId="0" xfId="22" applyNumberFormat="1" applyFont="1" applyFill="1">
      <alignment/>
      <protection/>
    </xf>
    <xf numFmtId="0" fontId="4" fillId="0" borderId="0" xfId="22" applyFont="1" applyFill="1" applyAlignment="1">
      <alignment wrapText="1"/>
      <protection/>
    </xf>
    <xf numFmtId="0" fontId="4" fillId="5" borderId="0" xfId="22" applyFill="1">
      <alignment/>
      <protection/>
    </xf>
    <xf numFmtId="3" fontId="4" fillId="0" borderId="0" xfId="22" applyNumberFormat="1" applyFill="1">
      <alignment/>
      <protection/>
    </xf>
    <xf numFmtId="186" fontId="7" fillId="0" borderId="0" xfId="0" applyFont="1" applyFill="1" applyBorder="1" applyAlignment="1" applyProtection="1">
      <alignment vertical="top"/>
      <protection/>
    </xf>
    <xf numFmtId="186" fontId="7" fillId="0" borderId="30" xfId="0" applyFont="1" applyFill="1" applyBorder="1" applyAlignment="1" applyProtection="1">
      <alignment horizontal="justify" wrapText="1"/>
      <protection/>
    </xf>
    <xf numFmtId="186" fontId="7" fillId="0" borderId="27" xfId="0" applyFont="1" applyFill="1" applyBorder="1" applyAlignment="1" applyProtection="1">
      <alignment vertical="top"/>
      <protection/>
    </xf>
    <xf numFmtId="186" fontId="7" fillId="0" borderId="15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 applyProtection="1">
      <alignment horizontal="left" vertical="top"/>
      <protection/>
    </xf>
    <xf numFmtId="186" fontId="0" fillId="0" borderId="0" xfId="0" applyFill="1" applyAlignment="1">
      <alignment/>
    </xf>
    <xf numFmtId="186" fontId="7" fillId="0" borderId="27" xfId="0" applyFont="1" applyFill="1" applyBorder="1" applyAlignment="1" applyProtection="1">
      <alignment horizontal="left" vertical="top"/>
      <protection/>
    </xf>
    <xf numFmtId="186" fontId="7" fillId="0" borderId="8" xfId="0" applyFont="1" applyFill="1" applyBorder="1" applyAlignment="1" applyProtection="1">
      <alignment horizontal="left" vertical="top"/>
      <protection/>
    </xf>
    <xf numFmtId="186" fontId="25" fillId="0" borderId="38" xfId="0" applyFont="1" applyBorder="1" applyAlignment="1">
      <alignment wrapText="1"/>
    </xf>
    <xf numFmtId="37" fontId="6" fillId="0" borderId="1" xfId="0" applyNumberFormat="1" applyFont="1" applyFill="1" applyBorder="1" applyAlignment="1" applyProtection="1">
      <alignment/>
      <protection/>
    </xf>
    <xf numFmtId="186" fontId="25" fillId="0" borderId="37" xfId="0" applyFont="1" applyBorder="1" applyAlignment="1">
      <alignment wrapText="1"/>
    </xf>
    <xf numFmtId="186" fontId="8" fillId="0" borderId="38" xfId="0" applyFont="1" applyBorder="1" applyAlignment="1">
      <alignment/>
    </xf>
    <xf numFmtId="186" fontId="8" fillId="0" borderId="39" xfId="0" applyFont="1" applyBorder="1" applyAlignment="1">
      <alignment horizontal="right" wrapText="1"/>
    </xf>
    <xf numFmtId="186" fontId="14" fillId="0" borderId="38" xfId="20" applyBorder="1" applyAlignment="1">
      <alignment/>
    </xf>
    <xf numFmtId="186" fontId="10" fillId="0" borderId="38" xfId="0" applyFont="1" applyBorder="1" applyAlignment="1">
      <alignment/>
    </xf>
    <xf numFmtId="186" fontId="10" fillId="0" borderId="39" xfId="0" applyFont="1" applyBorder="1" applyAlignment="1">
      <alignment horizontal="right" wrapText="1"/>
    </xf>
    <xf numFmtId="186" fontId="14" fillId="0" borderId="0" xfId="20" applyAlignment="1">
      <alignment/>
    </xf>
    <xf numFmtId="186" fontId="10" fillId="0" borderId="40" xfId="0" applyFont="1" applyBorder="1" applyAlignment="1">
      <alignment horizontal="center"/>
    </xf>
    <xf numFmtId="186" fontId="10" fillId="0" borderId="41" xfId="0" applyFont="1" applyBorder="1" applyAlignment="1">
      <alignment horizontal="center" wrapText="1"/>
    </xf>
    <xf numFmtId="186" fontId="10" fillId="0" borderId="42" xfId="0" applyFont="1" applyBorder="1" applyAlignment="1">
      <alignment horizontal="center"/>
    </xf>
    <xf numFmtId="186" fontId="6" fillId="1" borderId="0" xfId="0" applyFont="1" applyFill="1" applyBorder="1" applyAlignment="1" applyProtection="1">
      <alignment horizontal="left"/>
      <protection/>
    </xf>
    <xf numFmtId="186" fontId="6" fillId="1" borderId="0" xfId="0" applyFont="1" applyFill="1" applyBorder="1" applyAlignment="1" applyProtection="1">
      <alignment horizontal="left" vertical="top"/>
      <protection/>
    </xf>
    <xf numFmtId="186" fontId="7" fillId="1" borderId="0" xfId="0" applyFont="1" applyFill="1" applyBorder="1" applyAlignment="1">
      <alignment vertical="justify" wrapText="1"/>
    </xf>
    <xf numFmtId="37" fontId="7" fillId="1" borderId="0" xfId="0" applyNumberFormat="1" applyFont="1" applyFill="1" applyBorder="1" applyAlignment="1" applyProtection="1">
      <alignment/>
      <protection/>
    </xf>
    <xf numFmtId="186" fontId="7" fillId="0" borderId="43" xfId="0" applyFont="1" applyBorder="1" applyAlignment="1">
      <alignment horizontal="justify"/>
    </xf>
    <xf numFmtId="186" fontId="7" fillId="0" borderId="44" xfId="0" applyFont="1" applyBorder="1" applyAlignment="1">
      <alignment horizontal="justify"/>
    </xf>
    <xf numFmtId="0" fontId="4" fillId="0" borderId="0" xfId="21" applyBorder="1">
      <alignment/>
      <protection/>
    </xf>
    <xf numFmtId="0" fontId="1" fillId="0" borderId="0" xfId="21" applyFont="1" applyBorder="1" applyAlignment="1">
      <alignment horizontal="right"/>
      <protection/>
    </xf>
    <xf numFmtId="0" fontId="4" fillId="0" borderId="0" xfId="2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 horizontal="left"/>
      <protection/>
    </xf>
    <xf numFmtId="0" fontId="20" fillId="9" borderId="37" xfId="21" applyFont="1" applyFill="1" applyBorder="1" applyAlignment="1">
      <alignment horizontal="left" vertical="top"/>
      <protection/>
    </xf>
    <xf numFmtId="0" fontId="1" fillId="0" borderId="37" xfId="21" applyFont="1" applyBorder="1">
      <alignment/>
      <protection/>
    </xf>
    <xf numFmtId="0" fontId="4" fillId="0" borderId="0" xfId="21" applyFont="1">
      <alignment/>
      <protection/>
    </xf>
    <xf numFmtId="0" fontId="1" fillId="0" borderId="37" xfId="21" applyFont="1" applyFill="1" applyBorder="1" applyAlignment="1">
      <alignment/>
      <protection/>
    </xf>
    <xf numFmtId="0" fontId="1" fillId="0" borderId="37" xfId="21" applyFont="1" applyFill="1" applyBorder="1" applyAlignment="1">
      <alignment horizontal="center"/>
      <protection/>
    </xf>
    <xf numFmtId="0" fontId="4" fillId="0" borderId="37" xfId="21" applyBorder="1">
      <alignment/>
      <protection/>
    </xf>
    <xf numFmtId="0" fontId="1" fillId="0" borderId="37" xfId="21" applyFont="1" applyFill="1" applyBorder="1" applyAlignment="1">
      <alignment wrapText="1"/>
      <protection/>
    </xf>
    <xf numFmtId="0" fontId="4" fillId="0" borderId="37" xfId="21" applyFill="1" applyBorder="1" applyAlignment="1">
      <alignment wrapText="1"/>
      <protection/>
    </xf>
    <xf numFmtId="4" fontId="4" fillId="0" borderId="37" xfId="21" applyNumberFormat="1" applyFont="1" applyFill="1" applyBorder="1" applyAlignment="1">
      <alignment wrapText="1"/>
      <protection/>
    </xf>
    <xf numFmtId="0" fontId="4" fillId="0" borderId="37" xfId="21" applyFont="1" applyFill="1" applyBorder="1" applyAlignment="1">
      <alignment/>
      <protection/>
    </xf>
    <xf numFmtId="4" fontId="4" fillId="0" borderId="37" xfId="21" applyNumberFormat="1" applyFont="1" applyFill="1" applyBorder="1" applyAlignment="1">
      <alignment/>
      <protection/>
    </xf>
    <xf numFmtId="0" fontId="4" fillId="0" borderId="37" xfId="21" applyFill="1" applyBorder="1" applyAlignment="1">
      <alignment/>
      <protection/>
    </xf>
    <xf numFmtId="0" fontId="26" fillId="0" borderId="37" xfId="21" applyFont="1" applyFill="1" applyBorder="1" applyAlignment="1">
      <alignment/>
      <protection/>
    </xf>
    <xf numFmtId="4" fontId="1" fillId="0" borderId="37" xfId="21" applyNumberFormat="1" applyFont="1" applyFill="1" applyBorder="1" applyAlignment="1">
      <alignment/>
      <protection/>
    </xf>
    <xf numFmtId="0" fontId="4" fillId="0" borderId="0" xfId="21" applyFill="1" applyBorder="1" applyAlignment="1">
      <alignment/>
      <protection/>
    </xf>
    <xf numFmtId="0" fontId="1" fillId="0" borderId="0" xfId="21" applyFont="1" applyFill="1" applyBorder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Alignment="1">
      <alignment/>
      <protection/>
    </xf>
    <xf numFmtId="0" fontId="4" fillId="0" borderId="0" xfId="21" applyBorder="1" applyAlignment="1">
      <alignment/>
      <protection/>
    </xf>
    <xf numFmtId="0" fontId="4" fillId="0" borderId="0" xfId="2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45" xfId="21" applyBorder="1">
      <alignment/>
      <protection/>
    </xf>
    <xf numFmtId="0" fontId="4" fillId="0" borderId="46" xfId="21" applyBorder="1">
      <alignment/>
      <protection/>
    </xf>
    <xf numFmtId="0" fontId="4" fillId="0" borderId="37" xfId="21" applyFont="1" applyFill="1" applyBorder="1" applyAlignment="1">
      <alignment/>
      <protection/>
    </xf>
    <xf numFmtId="3" fontId="6" fillId="0" borderId="3" xfId="0" applyNumberFormat="1" applyFont="1" applyFill="1" applyBorder="1" applyAlignment="1">
      <alignment horizontal="right" wrapText="1"/>
    </xf>
    <xf numFmtId="3" fontId="7" fillId="0" borderId="30" xfId="0" applyNumberFormat="1" applyFont="1" applyFill="1" applyBorder="1" applyAlignment="1" applyProtection="1">
      <alignment horizontal="right" wrapText="1"/>
      <protection/>
    </xf>
    <xf numFmtId="3" fontId="7" fillId="0" borderId="15" xfId="0" applyNumberFormat="1" applyFont="1" applyFill="1" applyBorder="1" applyAlignment="1" applyProtection="1">
      <alignment horizontal="right" wrapText="1"/>
      <protection/>
    </xf>
    <xf numFmtId="3" fontId="7" fillId="0" borderId="9" xfId="0" applyNumberFormat="1" applyFont="1" applyFill="1" applyBorder="1" applyAlignment="1" applyProtection="1">
      <alignment horizontal="right" wrapText="1"/>
      <protection/>
    </xf>
    <xf numFmtId="3" fontId="6" fillId="1" borderId="9" xfId="0" applyNumberFormat="1" applyFont="1" applyFill="1" applyBorder="1" applyAlignment="1" applyProtection="1">
      <alignment horizontal="right" wrapText="1"/>
      <protection/>
    </xf>
    <xf numFmtId="3" fontId="7" fillId="0" borderId="15" xfId="0" applyNumberFormat="1" applyFont="1" applyFill="1" applyBorder="1" applyAlignment="1">
      <alignment horizontal="right" wrapText="1"/>
    </xf>
    <xf numFmtId="3" fontId="7" fillId="0" borderId="30" xfId="0" applyNumberFormat="1" applyFont="1" applyFill="1" applyBorder="1" applyAlignment="1">
      <alignment horizontal="right" wrapText="1"/>
    </xf>
    <xf numFmtId="186" fontId="8" fillId="0" borderId="0" xfId="0" applyFont="1" applyAlignment="1">
      <alignment/>
    </xf>
    <xf numFmtId="186" fontId="27" fillId="0" borderId="0" xfId="0" applyFont="1" applyAlignment="1">
      <alignment horizontal="left"/>
    </xf>
    <xf numFmtId="186" fontId="6" fillId="0" borderId="15" xfId="0" applyFont="1" applyFill="1" applyBorder="1" applyAlignment="1" applyProtection="1">
      <alignment horizontal="center" wrapText="1"/>
      <protection/>
    </xf>
    <xf numFmtId="186" fontId="7" fillId="7" borderId="9" xfId="0" applyFont="1" applyFill="1" applyBorder="1" applyAlignment="1">
      <alignment vertical="justify" wrapText="1"/>
    </xf>
    <xf numFmtId="186" fontId="6" fillId="0" borderId="0" xfId="0" applyFont="1" applyFill="1" applyBorder="1" applyAlignment="1">
      <alignment horizontal="center"/>
    </xf>
    <xf numFmtId="193" fontId="7" fillId="5" borderId="1" xfId="0" applyNumberFormat="1" applyFont="1" applyFill="1" applyBorder="1" applyAlignment="1" applyProtection="1">
      <alignment/>
      <protection/>
    </xf>
    <xf numFmtId="186" fontId="11" fillId="0" borderId="0" xfId="0" applyFont="1" applyFill="1" applyAlignment="1" applyProtection="1">
      <alignment horizontal="center"/>
      <protection/>
    </xf>
    <xf numFmtId="186" fontId="6" fillId="0" borderId="47" xfId="0" applyFont="1" applyFill="1" applyBorder="1" applyAlignment="1">
      <alignment horizontal="center" vertical="center"/>
    </xf>
    <xf numFmtId="186" fontId="6" fillId="0" borderId="41" xfId="0" applyFont="1" applyFill="1" applyBorder="1" applyAlignment="1">
      <alignment horizontal="center" vertical="center"/>
    </xf>
    <xf numFmtId="186" fontId="6" fillId="0" borderId="42" xfId="0" applyFont="1" applyFill="1" applyBorder="1" applyAlignment="1">
      <alignment horizontal="center" vertical="center"/>
    </xf>
    <xf numFmtId="186" fontId="10" fillId="0" borderId="48" xfId="0" applyFont="1" applyBorder="1" applyAlignment="1">
      <alignment horizontal="center" vertical="center"/>
    </xf>
    <xf numFmtId="186" fontId="10" fillId="0" borderId="49" xfId="0" applyFont="1" applyBorder="1" applyAlignment="1">
      <alignment horizontal="center" vertical="center"/>
    </xf>
    <xf numFmtId="186" fontId="10" fillId="0" borderId="50" xfId="0" applyFont="1" applyBorder="1" applyAlignment="1">
      <alignment horizontal="center" vertical="center"/>
    </xf>
    <xf numFmtId="186" fontId="11" fillId="0" borderId="0" xfId="0" applyFont="1" applyFill="1" applyAlignment="1" applyProtection="1">
      <alignment horizontal="center" vertical="top" wrapText="1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6939685" xfId="21"/>
    <cellStyle name="Normal_2008 GEF VOLTA CO FINANCING" xfId="22"/>
    <cellStyle name="Normal_VOLTA BUDGET GEF FORMAT V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06"/>
  <sheetViews>
    <sheetView showGridLines="0" tabSelected="1" zoomScale="150" zoomScaleNormal="150" workbookViewId="0" topLeftCell="A4">
      <selection activeCell="G8" sqref="G8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15" customWidth="1"/>
    <col min="4" max="4" width="10.296875" style="0" hidden="1" customWidth="1"/>
    <col min="5" max="7" width="9" style="0" bestFit="1" customWidth="1"/>
    <col min="8" max="11" width="8.59765625" style="0" bestFit="1" customWidth="1"/>
    <col min="12" max="12" width="11.59765625" style="0" customWidth="1"/>
    <col min="13" max="13" width="12.59765625" style="0" customWidth="1"/>
    <col min="14" max="16384" width="11.59765625" style="0" customWidth="1"/>
  </cols>
  <sheetData>
    <row r="1" spans="1:5" s="3" customFormat="1" ht="15" customHeight="1">
      <c r="A1" s="287" t="s">
        <v>145</v>
      </c>
      <c r="B1" s="287"/>
      <c r="C1" s="287"/>
      <c r="D1" s="287"/>
      <c r="E1" s="287"/>
    </row>
    <row r="3" spans="1:5" s="3" customFormat="1" ht="14.25">
      <c r="A3" s="43" t="s">
        <v>3</v>
      </c>
      <c r="B3" s="9"/>
      <c r="C3" s="167">
        <v>53885</v>
      </c>
      <c r="D3" s="2"/>
      <c r="E3" s="2"/>
    </row>
    <row r="4" spans="1:5" s="3" customFormat="1" ht="15">
      <c r="A4" s="43" t="s">
        <v>131</v>
      </c>
      <c r="B4" s="9"/>
      <c r="C4" s="96"/>
      <c r="D4" s="2" t="s">
        <v>223</v>
      </c>
      <c r="E4"/>
    </row>
    <row r="5" spans="1:5" s="3" customFormat="1" ht="15">
      <c r="A5" s="43" t="s">
        <v>137</v>
      </c>
      <c r="B5" s="9"/>
      <c r="C5" s="96"/>
      <c r="D5" s="2" t="s">
        <v>224</v>
      </c>
      <c r="E5"/>
    </row>
    <row r="6" spans="1:5" s="3" customFormat="1" ht="9.75" customHeight="1">
      <c r="A6" s="43"/>
      <c r="B6" s="9"/>
      <c r="C6" s="96"/>
      <c r="D6" s="2"/>
      <c r="E6"/>
    </row>
    <row r="7" spans="1:5" s="3" customFormat="1" ht="15">
      <c r="A7" s="43" t="s">
        <v>142</v>
      </c>
      <c r="B7" s="9"/>
      <c r="C7" s="96"/>
      <c r="D7" s="2"/>
      <c r="E7"/>
    </row>
    <row r="8" spans="1:5" s="3" customFormat="1" ht="15.75" thickBot="1">
      <c r="A8" s="43"/>
      <c r="B8" s="9"/>
      <c r="C8" s="96"/>
      <c r="D8" s="2"/>
      <c r="E8"/>
    </row>
    <row r="9" spans="1:5" s="3" customFormat="1" ht="12.75" customHeight="1">
      <c r="A9" s="6"/>
      <c r="B9" s="9"/>
      <c r="C9" s="97"/>
      <c r="D9" s="291"/>
      <c r="E9" s="292"/>
    </row>
    <row r="10" spans="1:13" s="14" customFormat="1" ht="12.75" customHeight="1" thickBot="1">
      <c r="A10" s="12"/>
      <c r="B10" s="13"/>
      <c r="C10" s="96"/>
      <c r="G10" s="29" t="s">
        <v>574</v>
      </c>
      <c r="H10" s="29"/>
      <c r="I10" s="29"/>
      <c r="J10" s="29"/>
      <c r="K10" s="285"/>
      <c r="M10" s="282"/>
    </row>
    <row r="11" spans="1:13" s="3" customFormat="1" ht="26.25" thickBot="1">
      <c r="A11" s="288" t="s">
        <v>133</v>
      </c>
      <c r="B11" s="289"/>
      <c r="C11" s="290"/>
      <c r="D11" s="28" t="s">
        <v>576</v>
      </c>
      <c r="E11" s="28" t="s">
        <v>573</v>
      </c>
      <c r="F11" s="29" t="s">
        <v>574</v>
      </c>
      <c r="G11" s="283" t="s">
        <v>646</v>
      </c>
      <c r="H11" s="283" t="s">
        <v>647</v>
      </c>
      <c r="I11" s="283" t="s">
        <v>648</v>
      </c>
      <c r="J11" s="283" t="s">
        <v>649</v>
      </c>
      <c r="K11" s="283" t="s">
        <v>650</v>
      </c>
      <c r="L11" s="29" t="s">
        <v>586</v>
      </c>
      <c r="M11" s="281"/>
    </row>
    <row r="12" spans="1:13" s="3" customFormat="1" ht="12.75">
      <c r="A12" s="20">
        <v>10</v>
      </c>
      <c r="B12" s="21" t="s">
        <v>6</v>
      </c>
      <c r="C12" s="117"/>
      <c r="D12" s="274"/>
      <c r="E12" s="51"/>
      <c r="F12" s="51"/>
      <c r="G12" s="51"/>
      <c r="H12" s="51"/>
      <c r="I12" s="51"/>
      <c r="J12" s="51"/>
      <c r="K12" s="51"/>
      <c r="L12" s="51"/>
      <c r="M12" s="281"/>
    </row>
    <row r="13" spans="1:13" s="3" customFormat="1" ht="12.75">
      <c r="A13" s="25"/>
      <c r="B13" s="219" t="s">
        <v>7</v>
      </c>
      <c r="C13" s="220" t="s">
        <v>466</v>
      </c>
      <c r="D13" s="275">
        <v>1090000</v>
      </c>
      <c r="E13" s="16">
        <v>1206476.7824</v>
      </c>
      <c r="F13" s="16">
        <f>'total budget reconciliation'!E147</f>
        <v>1448219.45472384</v>
      </c>
      <c r="G13" s="16">
        <f>'detailed GEF budget'!H17</f>
        <v>279439</v>
      </c>
      <c r="H13" s="16">
        <f>'detailed GEF budget'!I17</f>
        <v>286210.75</v>
      </c>
      <c r="I13" s="16">
        <f>'detailed GEF budget'!J17</f>
        <v>298319.4932</v>
      </c>
      <c r="J13" s="16">
        <f>'detailed GEF budget'!K17</f>
        <v>311376.523328</v>
      </c>
      <c r="K13" s="16">
        <f>'detailed GEF budget'!L17</f>
        <v>272873.68819584005</v>
      </c>
      <c r="L13" s="16">
        <f>'detailed GEF budget'!M17</f>
        <v>1448219.45472384</v>
      </c>
      <c r="M13" s="281">
        <f>L13-F13</f>
        <v>0</v>
      </c>
    </row>
    <row r="14" spans="1:13" s="3" customFormat="1" ht="12.75">
      <c r="A14" s="25"/>
      <c r="B14" s="221" t="s">
        <v>11</v>
      </c>
      <c r="C14" s="222" t="s">
        <v>467</v>
      </c>
      <c r="D14" s="276">
        <v>436100</v>
      </c>
      <c r="E14" s="16">
        <v>907400</v>
      </c>
      <c r="F14" s="16">
        <f>'total budget reconciliation'!E148</f>
        <v>553643.26</v>
      </c>
      <c r="G14" s="16">
        <f>'detailed GEF budget'!H43</f>
        <v>206843.25999999998</v>
      </c>
      <c r="H14" s="16">
        <f>'detailed GEF budget'!I43</f>
        <v>33000</v>
      </c>
      <c r="I14" s="16">
        <f>'detailed GEF budget'!J43</f>
        <v>198500</v>
      </c>
      <c r="J14" s="16">
        <f>'detailed GEF budget'!K43</f>
        <v>66050</v>
      </c>
      <c r="K14" s="16">
        <f>'detailed GEF budget'!L43</f>
        <v>49250</v>
      </c>
      <c r="L14" s="16">
        <f>'detailed GEF budget'!M43</f>
        <v>553643.26</v>
      </c>
      <c r="M14" s="281">
        <f aca="true" t="shared" si="0" ref="M14:M43">L14-F14</f>
        <v>0</v>
      </c>
    </row>
    <row r="15" spans="1:13" s="3" customFormat="1" ht="12.75">
      <c r="A15" s="25"/>
      <c r="B15" s="221" t="s">
        <v>16</v>
      </c>
      <c r="C15" s="222" t="s">
        <v>468</v>
      </c>
      <c r="D15" s="277">
        <v>144000</v>
      </c>
      <c r="E15" s="16">
        <v>76540.83584000001</v>
      </c>
      <c r="F15" s="16">
        <f>'total budget reconciliation'!E149</f>
        <v>100300.65719552</v>
      </c>
      <c r="G15" s="16">
        <f>'detailed GEF budget'!H48</f>
        <v>14731.52</v>
      </c>
      <c r="H15" s="16">
        <f>'detailed GEF budget'!I48</f>
        <v>20150.68</v>
      </c>
      <c r="I15" s="16">
        <f>'detailed GEF budget'!J48</f>
        <v>20956.7072</v>
      </c>
      <c r="J15" s="16">
        <f>'detailed GEF budget'!K48</f>
        <v>21794.975488000004</v>
      </c>
      <c r="K15" s="16">
        <f>'detailed GEF budget'!L48</f>
        <v>22666.774507520004</v>
      </c>
      <c r="L15" s="16">
        <f>'detailed GEF budget'!M48</f>
        <v>100300.65719552</v>
      </c>
      <c r="M15" s="281">
        <f t="shared" si="0"/>
        <v>0</v>
      </c>
    </row>
    <row r="16" spans="1:13" s="3" customFormat="1" ht="12.75">
      <c r="A16" s="25"/>
      <c r="B16" s="26" t="s">
        <v>21</v>
      </c>
      <c r="C16" s="130" t="s">
        <v>469</v>
      </c>
      <c r="D16" s="277"/>
      <c r="E16" s="16">
        <v>0</v>
      </c>
      <c r="F16" s="16">
        <f>'total budget reconciliation'!E150</f>
        <v>0</v>
      </c>
      <c r="G16" s="16">
        <f>'detailed GEF budget'!H53</f>
        <v>0</v>
      </c>
      <c r="H16" s="16">
        <f>'detailed GEF budget'!I53</f>
        <v>0</v>
      </c>
      <c r="I16" s="16">
        <f>'detailed GEF budget'!J53</f>
        <v>0</v>
      </c>
      <c r="J16" s="16">
        <f>'detailed GEF budget'!K53</f>
        <v>0</v>
      </c>
      <c r="K16" s="16">
        <f>'detailed GEF budget'!L53</f>
        <v>0</v>
      </c>
      <c r="L16" s="16">
        <f>'detailed GEF budget'!M53</f>
        <v>0</v>
      </c>
      <c r="M16" s="281">
        <f t="shared" si="0"/>
        <v>0</v>
      </c>
    </row>
    <row r="17" spans="1:13" s="3" customFormat="1" ht="12.75">
      <c r="A17" s="25"/>
      <c r="B17" s="26" t="s">
        <v>25</v>
      </c>
      <c r="C17" s="130" t="s">
        <v>470</v>
      </c>
      <c r="D17" s="3">
        <v>121000</v>
      </c>
      <c r="E17" s="16">
        <v>233000</v>
      </c>
      <c r="F17" s="16">
        <f>'total budget reconciliation'!E151</f>
        <v>266898</v>
      </c>
      <c r="G17" s="16">
        <f>'detailed GEF budget'!H73</f>
        <v>45898</v>
      </c>
      <c r="H17" s="16">
        <f>'detailed GEF budget'!I73</f>
        <v>35000</v>
      </c>
      <c r="I17" s="16">
        <f>'detailed GEF budget'!J73</f>
        <v>101000</v>
      </c>
      <c r="J17" s="16">
        <f>'detailed GEF budget'!K73</f>
        <v>59000</v>
      </c>
      <c r="K17" s="16">
        <f>'detailed GEF budget'!L73</f>
        <v>26000</v>
      </c>
      <c r="L17" s="16">
        <f>'detailed GEF budget'!M73</f>
        <v>266898</v>
      </c>
      <c r="M17" s="281">
        <f t="shared" si="0"/>
        <v>0</v>
      </c>
    </row>
    <row r="18" spans="1:13" s="3" customFormat="1" ht="12.75">
      <c r="A18" s="35"/>
      <c r="B18" s="36">
        <v>1999</v>
      </c>
      <c r="C18" s="126" t="s">
        <v>29</v>
      </c>
      <c r="D18" s="278">
        <v>1791100</v>
      </c>
      <c r="E18" s="17">
        <v>2423417.6182399997</v>
      </c>
      <c r="F18" s="17">
        <f aca="true" t="shared" si="1" ref="F18:L18">+F13+F14+F15+F16+F17</f>
        <v>2369061.37191936</v>
      </c>
      <c r="G18" s="17">
        <f t="shared" si="1"/>
        <v>546911.78</v>
      </c>
      <c r="H18" s="17">
        <f t="shared" si="1"/>
        <v>374361.43</v>
      </c>
      <c r="I18" s="17">
        <f t="shared" si="1"/>
        <v>618776.2004</v>
      </c>
      <c r="J18" s="17">
        <f t="shared" si="1"/>
        <v>458221.498816</v>
      </c>
      <c r="K18" s="17">
        <f t="shared" si="1"/>
        <v>370790.46270336007</v>
      </c>
      <c r="L18" s="17">
        <f t="shared" si="1"/>
        <v>2369061.37191936</v>
      </c>
      <c r="M18" s="281">
        <f t="shared" si="0"/>
        <v>0</v>
      </c>
    </row>
    <row r="19" spans="1:13" s="3" customFormat="1" ht="12.75">
      <c r="A19" s="80">
        <v>20</v>
      </c>
      <c r="B19" s="74" t="s">
        <v>104</v>
      </c>
      <c r="C19" s="127"/>
      <c r="D19" s="279"/>
      <c r="E19" s="61"/>
      <c r="F19" s="61"/>
      <c r="G19" s="61"/>
      <c r="H19" s="61"/>
      <c r="I19" s="61"/>
      <c r="J19" s="61"/>
      <c r="K19" s="61"/>
      <c r="L19" s="61"/>
      <c r="M19" s="281">
        <f t="shared" si="0"/>
        <v>0</v>
      </c>
    </row>
    <row r="20" spans="1:13" s="3" customFormat="1" ht="17.25" customHeight="1">
      <c r="A20" s="25"/>
      <c r="B20" s="219" t="s">
        <v>30</v>
      </c>
      <c r="C20" s="222" t="s">
        <v>471</v>
      </c>
      <c r="D20" s="276"/>
      <c r="E20" s="16">
        <v>0</v>
      </c>
      <c r="F20" s="16">
        <f>'total budget reconciliation'!E154</f>
        <v>0</v>
      </c>
      <c r="G20" s="16">
        <f>'detailed GEF budget'!H79</f>
        <v>0</v>
      </c>
      <c r="H20" s="16">
        <f>'detailed GEF budget'!I79</f>
        <v>0</v>
      </c>
      <c r="I20" s="16">
        <f>'detailed GEF budget'!J79</f>
        <v>0</v>
      </c>
      <c r="J20" s="16">
        <f>'detailed GEF budget'!K79</f>
        <v>0</v>
      </c>
      <c r="K20" s="16">
        <f>'detailed GEF budget'!L79</f>
        <v>0</v>
      </c>
      <c r="L20" s="16">
        <f>'detailed GEF budget'!M79</f>
        <v>0</v>
      </c>
      <c r="M20" s="281">
        <f t="shared" si="0"/>
        <v>0</v>
      </c>
    </row>
    <row r="21" spans="1:13" s="3" customFormat="1" ht="25.5">
      <c r="A21" s="25"/>
      <c r="B21" s="221" t="s">
        <v>33</v>
      </c>
      <c r="C21" s="222" t="s">
        <v>472</v>
      </c>
      <c r="D21" s="276">
        <v>871000</v>
      </c>
      <c r="E21" s="16">
        <v>1033200</v>
      </c>
      <c r="F21" s="16">
        <f>'total budget reconciliation'!E155</f>
        <v>951386</v>
      </c>
      <c r="G21" s="16">
        <f>'detailed GEF budget'!H93</f>
        <v>47736</v>
      </c>
      <c r="H21" s="16">
        <f>'detailed GEF budget'!I93</f>
        <v>411200</v>
      </c>
      <c r="I21" s="16">
        <f>'detailed GEF budget'!J93</f>
        <v>246225</v>
      </c>
      <c r="J21" s="16">
        <f>'detailed GEF budget'!K93</f>
        <v>246225</v>
      </c>
      <c r="K21" s="16">
        <f>'detailed GEF budget'!L93</f>
        <v>0</v>
      </c>
      <c r="L21" s="16">
        <f>'detailed GEF budget'!M93</f>
        <v>951386</v>
      </c>
      <c r="M21" s="281">
        <f t="shared" si="0"/>
        <v>0</v>
      </c>
    </row>
    <row r="22" spans="1:13" s="3" customFormat="1" ht="12.75">
      <c r="A22" s="25"/>
      <c r="B22" s="26" t="s">
        <v>42</v>
      </c>
      <c r="C22" s="130" t="s">
        <v>126</v>
      </c>
      <c r="D22" s="277"/>
      <c r="E22" s="16">
        <v>0</v>
      </c>
      <c r="F22" s="16">
        <f>'total budget reconciliation'!E156</f>
        <v>0</v>
      </c>
      <c r="G22" s="16">
        <f>'detailed GEF budget'!H97</f>
        <v>0</v>
      </c>
      <c r="H22" s="16">
        <f>'detailed GEF budget'!I97</f>
        <v>0</v>
      </c>
      <c r="I22" s="16">
        <f>'detailed GEF budget'!J97</f>
        <v>0</v>
      </c>
      <c r="J22" s="16">
        <f>'detailed GEF budget'!K97</f>
        <v>0</v>
      </c>
      <c r="K22" s="16">
        <f>'detailed GEF budget'!L97</f>
        <v>0</v>
      </c>
      <c r="L22" s="16">
        <f>'detailed GEF budget'!M97</f>
        <v>0</v>
      </c>
      <c r="M22" s="281">
        <f t="shared" si="0"/>
        <v>0</v>
      </c>
    </row>
    <row r="23" spans="1:13" s="3" customFormat="1" ht="12.75">
      <c r="A23" s="35"/>
      <c r="B23" s="36">
        <v>2999</v>
      </c>
      <c r="C23" s="126" t="s">
        <v>29</v>
      </c>
      <c r="D23" s="278">
        <v>871000</v>
      </c>
      <c r="E23" s="17">
        <v>1033200</v>
      </c>
      <c r="F23" s="17">
        <f aca="true" t="shared" si="2" ref="F23:L23">+F20+F21+F22</f>
        <v>951386</v>
      </c>
      <c r="G23" s="17">
        <f t="shared" si="2"/>
        <v>47736</v>
      </c>
      <c r="H23" s="17">
        <f t="shared" si="2"/>
        <v>411200</v>
      </c>
      <c r="I23" s="17">
        <f t="shared" si="2"/>
        <v>246225</v>
      </c>
      <c r="J23" s="17">
        <f t="shared" si="2"/>
        <v>246225</v>
      </c>
      <c r="K23" s="17">
        <f t="shared" si="2"/>
        <v>0</v>
      </c>
      <c r="L23" s="17">
        <f t="shared" si="2"/>
        <v>951386</v>
      </c>
      <c r="M23" s="281">
        <f t="shared" si="0"/>
        <v>0</v>
      </c>
    </row>
    <row r="24" spans="1:13" ht="15">
      <c r="A24" s="84">
        <v>30</v>
      </c>
      <c r="B24" s="85" t="s">
        <v>43</v>
      </c>
      <c r="C24" s="129"/>
      <c r="D24" s="280"/>
      <c r="E24" s="77"/>
      <c r="F24" s="77"/>
      <c r="G24" s="77"/>
      <c r="H24" s="77"/>
      <c r="I24" s="77"/>
      <c r="J24" s="77"/>
      <c r="K24" s="77"/>
      <c r="L24" s="77"/>
      <c r="M24" s="281">
        <f t="shared" si="0"/>
        <v>0</v>
      </c>
    </row>
    <row r="25" spans="1:13" ht="15">
      <c r="A25" s="25"/>
      <c r="B25" s="219" t="s">
        <v>44</v>
      </c>
      <c r="C25" s="220" t="s">
        <v>475</v>
      </c>
      <c r="D25" s="275"/>
      <c r="E25" s="16">
        <v>0</v>
      </c>
      <c r="F25" s="16">
        <f>'total budget reconciliation'!E159</f>
        <v>0</v>
      </c>
      <c r="G25" s="16">
        <f>'detailed GEF budget'!H104</f>
        <v>0</v>
      </c>
      <c r="H25" s="16">
        <f>'detailed GEF budget'!I104</f>
        <v>0</v>
      </c>
      <c r="I25" s="16">
        <f>'detailed GEF budget'!J104</f>
        <v>0</v>
      </c>
      <c r="J25" s="16">
        <f>'detailed GEF budget'!K104</f>
        <v>0</v>
      </c>
      <c r="K25" s="16">
        <f>'detailed GEF budget'!L104</f>
        <v>0</v>
      </c>
      <c r="L25" s="16">
        <f>'detailed GEF budget'!M104</f>
        <v>0</v>
      </c>
      <c r="M25" s="281">
        <f t="shared" si="0"/>
        <v>0</v>
      </c>
    </row>
    <row r="26" spans="1:13" ht="15">
      <c r="A26" s="25"/>
      <c r="B26" s="221" t="s">
        <v>48</v>
      </c>
      <c r="C26" s="222" t="s">
        <v>474</v>
      </c>
      <c r="D26" s="276">
        <v>324800</v>
      </c>
      <c r="E26" s="16">
        <v>256000</v>
      </c>
      <c r="F26" s="16">
        <f>'total budget reconciliation'!E160</f>
        <v>283118.04</v>
      </c>
      <c r="G26" s="16">
        <f>'detailed GEF budget'!H115</f>
        <v>52118.03999999999</v>
      </c>
      <c r="H26" s="16">
        <f>'detailed GEF budget'!I115</f>
        <v>93000</v>
      </c>
      <c r="I26" s="16">
        <f>'detailed GEF budget'!J115</f>
        <v>75000</v>
      </c>
      <c r="J26" s="16">
        <f>'detailed GEF budget'!K115</f>
        <v>63000</v>
      </c>
      <c r="K26" s="16">
        <f>'detailed GEF budget'!L115</f>
        <v>0</v>
      </c>
      <c r="L26" s="16">
        <f>'detailed GEF budget'!M115</f>
        <v>283118.04</v>
      </c>
      <c r="M26" s="281">
        <f t="shared" si="0"/>
        <v>0</v>
      </c>
    </row>
    <row r="27" spans="1:13" ht="15">
      <c r="A27" s="25"/>
      <c r="B27" s="26" t="s">
        <v>51</v>
      </c>
      <c r="C27" s="130" t="s">
        <v>473</v>
      </c>
      <c r="D27" s="277">
        <v>1271000</v>
      </c>
      <c r="E27" s="16">
        <v>556520</v>
      </c>
      <c r="F27" s="16">
        <f>'total budget reconciliation'!E161</f>
        <v>665000</v>
      </c>
      <c r="G27" s="16">
        <f>'detailed GEF budget'!H135</f>
        <v>39000</v>
      </c>
      <c r="H27" s="16">
        <f>'detailed GEF budget'!I135</f>
        <v>123000</v>
      </c>
      <c r="I27" s="16">
        <f>'detailed GEF budget'!J135</f>
        <v>242000</v>
      </c>
      <c r="J27" s="16">
        <f>'detailed GEF budget'!K135</f>
        <v>261000</v>
      </c>
      <c r="K27" s="16">
        <f>'detailed GEF budget'!L135</f>
        <v>0</v>
      </c>
      <c r="L27" s="16">
        <f>'detailed GEF budget'!M135</f>
        <v>665000</v>
      </c>
      <c r="M27" s="281">
        <f t="shared" si="0"/>
        <v>0</v>
      </c>
    </row>
    <row r="28" spans="1:13" ht="15">
      <c r="A28" s="35"/>
      <c r="B28" s="36">
        <v>3999</v>
      </c>
      <c r="C28" s="126" t="s">
        <v>29</v>
      </c>
      <c r="D28" s="278">
        <v>1595800</v>
      </c>
      <c r="E28" s="17">
        <v>812520</v>
      </c>
      <c r="F28" s="17">
        <f aca="true" t="shared" si="3" ref="F28:L28">+F25+F26+F27</f>
        <v>948118.04</v>
      </c>
      <c r="G28" s="17">
        <f t="shared" si="3"/>
        <v>91118.04</v>
      </c>
      <c r="H28" s="17">
        <f t="shared" si="3"/>
        <v>216000</v>
      </c>
      <c r="I28" s="17">
        <f t="shared" si="3"/>
        <v>317000</v>
      </c>
      <c r="J28" s="17">
        <f t="shared" si="3"/>
        <v>324000</v>
      </c>
      <c r="K28" s="17">
        <f t="shared" si="3"/>
        <v>0</v>
      </c>
      <c r="L28" s="17">
        <f t="shared" si="3"/>
        <v>948118.04</v>
      </c>
      <c r="M28" s="281">
        <f t="shared" si="0"/>
        <v>0</v>
      </c>
    </row>
    <row r="29" spans="1:13" ht="15">
      <c r="A29" s="80">
        <v>40</v>
      </c>
      <c r="B29" s="86" t="s">
        <v>127</v>
      </c>
      <c r="C29" s="127"/>
      <c r="D29" s="279"/>
      <c r="E29" s="61"/>
      <c r="F29" s="61"/>
      <c r="G29" s="61"/>
      <c r="H29" s="61"/>
      <c r="I29" s="61"/>
      <c r="J29" s="61"/>
      <c r="K29" s="61"/>
      <c r="L29" s="61"/>
      <c r="M29" s="281">
        <f t="shared" si="0"/>
        <v>0</v>
      </c>
    </row>
    <row r="30" spans="1:13" ht="15">
      <c r="A30" s="25"/>
      <c r="B30" s="225" t="s">
        <v>56</v>
      </c>
      <c r="C30" s="222" t="s">
        <v>476</v>
      </c>
      <c r="D30" s="276">
        <v>25500</v>
      </c>
      <c r="E30" s="16">
        <v>28000</v>
      </c>
      <c r="F30" s="16">
        <f>'total budget reconciliation'!E164</f>
        <v>49500</v>
      </c>
      <c r="G30" s="16">
        <f>'detailed GEF budget'!H143</f>
        <v>5339.98</v>
      </c>
      <c r="H30" s="16">
        <f>'detailed GEF budget'!I143</f>
        <v>29331.006666666668</v>
      </c>
      <c r="I30" s="16">
        <f>'detailed GEF budget'!J143</f>
        <v>9445.006666666666</v>
      </c>
      <c r="J30" s="16">
        <f>'detailed GEF budget'!K143</f>
        <v>5384.006666666666</v>
      </c>
      <c r="K30" s="16">
        <f>'detailed GEF budget'!L143</f>
        <v>0</v>
      </c>
      <c r="L30" s="16">
        <f>'detailed GEF budget'!M143</f>
        <v>49500</v>
      </c>
      <c r="M30" s="281">
        <f t="shared" si="0"/>
        <v>0</v>
      </c>
    </row>
    <row r="31" spans="1:13" ht="15">
      <c r="A31" s="25"/>
      <c r="B31" s="225">
        <v>4200</v>
      </c>
      <c r="C31" s="222" t="s">
        <v>90</v>
      </c>
      <c r="D31" s="276">
        <v>144856</v>
      </c>
      <c r="E31" s="16">
        <v>38100</v>
      </c>
      <c r="F31" s="16">
        <f>'total budget reconciliation'!E165</f>
        <v>36660.58</v>
      </c>
      <c r="G31" s="16">
        <f>'detailed GEF budget'!H149</f>
        <v>9561.579999999998</v>
      </c>
      <c r="H31" s="16">
        <f>'detailed GEF budget'!I149</f>
        <v>21099</v>
      </c>
      <c r="I31" s="16">
        <f>'detailed GEF budget'!J149</f>
        <v>5500</v>
      </c>
      <c r="J31" s="16">
        <f>'detailed GEF budget'!K149</f>
        <v>500</v>
      </c>
      <c r="K31" s="16">
        <f>'detailed GEF budget'!L149</f>
        <v>0</v>
      </c>
      <c r="L31" s="16">
        <f>'detailed GEF budget'!M149</f>
        <v>36660.58</v>
      </c>
      <c r="M31" s="281">
        <f t="shared" si="0"/>
        <v>0</v>
      </c>
    </row>
    <row r="32" spans="1:13" ht="15">
      <c r="A32" s="25"/>
      <c r="B32" s="225">
        <v>4300</v>
      </c>
      <c r="C32" s="222" t="s">
        <v>477</v>
      </c>
      <c r="D32" s="276">
        <v>10000</v>
      </c>
      <c r="E32" s="16">
        <v>6000</v>
      </c>
      <c r="F32" s="16">
        <f>'total budget reconciliation'!E166</f>
        <v>6777</v>
      </c>
      <c r="G32" s="16">
        <f>'detailed GEF budget'!H153</f>
        <v>0</v>
      </c>
      <c r="H32" s="16">
        <f>'detailed GEF budget'!I153</f>
        <v>2300</v>
      </c>
      <c r="I32" s="16">
        <f>'detailed GEF budget'!J153</f>
        <v>2000</v>
      </c>
      <c r="J32" s="16">
        <f>'detailed GEF budget'!K153</f>
        <v>2477</v>
      </c>
      <c r="K32" s="16">
        <f>'detailed GEF budget'!L153</f>
        <v>0</v>
      </c>
      <c r="L32" s="16">
        <f>'detailed GEF budget'!M153</f>
        <v>6777</v>
      </c>
      <c r="M32" s="281">
        <f t="shared" si="0"/>
        <v>0</v>
      </c>
    </row>
    <row r="33" spans="1:13" ht="15">
      <c r="A33" s="35"/>
      <c r="B33" s="36">
        <v>4999</v>
      </c>
      <c r="C33" s="126" t="s">
        <v>29</v>
      </c>
      <c r="D33" s="278"/>
      <c r="E33" s="17">
        <v>72100</v>
      </c>
      <c r="F33" s="17">
        <f aca="true" t="shared" si="4" ref="F33:L33">+F30+F31+F32</f>
        <v>92937.58</v>
      </c>
      <c r="G33" s="17">
        <f t="shared" si="4"/>
        <v>14901.559999999998</v>
      </c>
      <c r="H33" s="17">
        <f t="shared" si="4"/>
        <v>52730.00666666667</v>
      </c>
      <c r="I33" s="17">
        <f t="shared" si="4"/>
        <v>16945.006666666668</v>
      </c>
      <c r="J33" s="17">
        <f t="shared" si="4"/>
        <v>8361.006666666666</v>
      </c>
      <c r="K33" s="17">
        <f t="shared" si="4"/>
        <v>0</v>
      </c>
      <c r="L33" s="17">
        <f t="shared" si="4"/>
        <v>92937.58</v>
      </c>
      <c r="M33" s="281">
        <f t="shared" si="0"/>
        <v>0</v>
      </c>
    </row>
    <row r="34" spans="1:13" ht="15">
      <c r="A34" s="80">
        <v>50</v>
      </c>
      <c r="B34" s="74" t="s">
        <v>69</v>
      </c>
      <c r="C34" s="127"/>
      <c r="D34" s="279"/>
      <c r="E34" s="61"/>
      <c r="F34" s="61"/>
      <c r="G34" s="61"/>
      <c r="H34" s="61"/>
      <c r="I34" s="61"/>
      <c r="J34" s="61"/>
      <c r="K34" s="61"/>
      <c r="L34" s="61"/>
      <c r="M34" s="281">
        <f t="shared" si="0"/>
        <v>0</v>
      </c>
    </row>
    <row r="35" spans="1:13" ht="15">
      <c r="A35" s="25"/>
      <c r="B35" s="223" t="s">
        <v>70</v>
      </c>
      <c r="C35" s="220" t="s">
        <v>107</v>
      </c>
      <c r="D35" s="275">
        <v>3000</v>
      </c>
      <c r="E35" s="16">
        <v>11000</v>
      </c>
      <c r="F35" s="16">
        <f>'total budget reconciliation'!E169</f>
        <v>51500</v>
      </c>
      <c r="G35" s="16">
        <f>'detailed GEF budget'!H163</f>
        <v>0</v>
      </c>
      <c r="H35" s="16">
        <f>'detailed GEF budget'!I163</f>
        <v>17500</v>
      </c>
      <c r="I35" s="16">
        <f>'detailed GEF budget'!J163</f>
        <v>17500</v>
      </c>
      <c r="J35" s="16">
        <f>'detailed GEF budget'!K163</f>
        <v>16500</v>
      </c>
      <c r="K35" s="16">
        <f>'detailed GEF budget'!L163</f>
        <v>0</v>
      </c>
      <c r="L35" s="16">
        <f>'detailed GEF budget'!M163</f>
        <v>51500</v>
      </c>
      <c r="M35" s="281">
        <f>L35-F35</f>
        <v>0</v>
      </c>
    </row>
    <row r="36" spans="1:13" ht="15">
      <c r="A36" s="25"/>
      <c r="B36" s="225">
        <v>5200</v>
      </c>
      <c r="C36" s="222" t="s">
        <v>478</v>
      </c>
      <c r="D36" s="276">
        <v>354228</v>
      </c>
      <c r="E36" s="16">
        <v>370000</v>
      </c>
      <c r="F36" s="16">
        <f>'total budget reconciliation'!E170</f>
        <v>299825.2</v>
      </c>
      <c r="G36" s="16">
        <f>'detailed GEF budget'!H168</f>
        <v>2950.2</v>
      </c>
      <c r="H36" s="16">
        <f>'detailed GEF budget'!I168</f>
        <v>36875</v>
      </c>
      <c r="I36" s="16">
        <f>'detailed GEF budget'!J168</f>
        <v>80000</v>
      </c>
      <c r="J36" s="16">
        <f>'detailed GEF budget'!K168</f>
        <v>120000</v>
      </c>
      <c r="K36" s="16">
        <f>'detailed GEF budget'!L168</f>
        <v>60000</v>
      </c>
      <c r="L36" s="16">
        <f>'detailed GEF budget'!M168</f>
        <v>299825.2</v>
      </c>
      <c r="M36" s="281">
        <f t="shared" si="0"/>
        <v>0</v>
      </c>
    </row>
    <row r="37" spans="1:13" ht="15">
      <c r="A37" s="25"/>
      <c r="B37" s="225">
        <v>5300</v>
      </c>
      <c r="C37" s="222" t="s">
        <v>124</v>
      </c>
      <c r="D37" s="276">
        <v>78794</v>
      </c>
      <c r="E37" s="16">
        <v>129040</v>
      </c>
      <c r="F37" s="16">
        <f>'total budget reconciliation'!E171</f>
        <v>93449.92000000001</v>
      </c>
      <c r="G37" s="16">
        <f>'detailed GEF budget'!H174</f>
        <v>6449.92</v>
      </c>
      <c r="H37" s="16">
        <f>'detailed GEF budget'!I174</f>
        <v>7000</v>
      </c>
      <c r="I37" s="16">
        <f>'detailed GEF budget'!J174</f>
        <v>27000</v>
      </c>
      <c r="J37" s="16">
        <f>'detailed GEF budget'!K174</f>
        <v>7000</v>
      </c>
      <c r="K37" s="16">
        <f>'detailed GEF budget'!L174</f>
        <v>46000</v>
      </c>
      <c r="L37" s="16">
        <f>'detailed GEF budget'!M174</f>
        <v>93449.92000000001</v>
      </c>
      <c r="M37" s="281">
        <f t="shared" si="0"/>
        <v>0</v>
      </c>
    </row>
    <row r="38" spans="1:13" ht="15">
      <c r="A38" s="25"/>
      <c r="B38" s="226">
        <v>5400</v>
      </c>
      <c r="C38" s="130" t="s">
        <v>84</v>
      </c>
      <c r="D38" s="277">
        <v>17000</v>
      </c>
      <c r="E38" s="16">
        <v>0</v>
      </c>
      <c r="F38" s="16">
        <f>'total budget reconciliation'!E172</f>
        <v>0</v>
      </c>
      <c r="G38" s="16">
        <f>'detailed GEF budget'!H178</f>
        <v>0</v>
      </c>
      <c r="H38" s="16">
        <f>'detailed GEF budget'!I178</f>
        <v>0</v>
      </c>
      <c r="I38" s="16">
        <f>'detailed GEF budget'!J178</f>
        <v>0</v>
      </c>
      <c r="J38" s="16">
        <f>'detailed GEF budget'!K178</f>
        <v>0</v>
      </c>
      <c r="K38" s="16">
        <f>'detailed GEF budget'!L178</f>
        <v>0</v>
      </c>
      <c r="L38" s="16">
        <f>'detailed GEF budget'!M178</f>
        <v>0</v>
      </c>
      <c r="M38" s="281">
        <f t="shared" si="0"/>
        <v>0</v>
      </c>
    </row>
    <row r="39" spans="1:13" ht="15">
      <c r="A39" s="25"/>
      <c r="B39" s="225">
        <v>5500</v>
      </c>
      <c r="C39" s="222" t="s">
        <v>479</v>
      </c>
      <c r="D39" s="276">
        <v>456102</v>
      </c>
      <c r="E39" s="16">
        <v>100000</v>
      </c>
      <c r="F39" s="16">
        <f>'total budget reconciliation'!E173</f>
        <v>145000</v>
      </c>
      <c r="G39" s="16">
        <f>'detailed GEF budget'!H183</f>
        <v>0</v>
      </c>
      <c r="H39" s="16">
        <f>'detailed GEF budget'!I183</f>
        <v>0</v>
      </c>
      <c r="I39" s="16">
        <f>'detailed GEF budget'!J183</f>
        <v>55000</v>
      </c>
      <c r="J39" s="16">
        <f>'detailed GEF budget'!K183</f>
        <v>0</v>
      </c>
      <c r="K39" s="16">
        <f>'detailed GEF budget'!L183</f>
        <v>90000</v>
      </c>
      <c r="L39" s="16">
        <f>'detailed GEF budget'!M183</f>
        <v>145000</v>
      </c>
      <c r="M39" s="281">
        <f t="shared" si="0"/>
        <v>0</v>
      </c>
    </row>
    <row r="40" spans="1:13" ht="15">
      <c r="A40" s="35"/>
      <c r="B40" s="36">
        <v>5999</v>
      </c>
      <c r="C40" s="126" t="s">
        <v>29</v>
      </c>
      <c r="D40" s="17"/>
      <c r="E40" s="17">
        <v>610040</v>
      </c>
      <c r="F40" s="17">
        <f aca="true" t="shared" si="5" ref="F40:L40">+F35+F36+F37+F38+F39</f>
        <v>589775.12</v>
      </c>
      <c r="G40" s="17">
        <f t="shared" si="5"/>
        <v>9400.119999999999</v>
      </c>
      <c r="H40" s="17">
        <f t="shared" si="5"/>
        <v>61375</v>
      </c>
      <c r="I40" s="17">
        <f t="shared" si="5"/>
        <v>179500</v>
      </c>
      <c r="J40" s="17">
        <f t="shared" si="5"/>
        <v>143500</v>
      </c>
      <c r="K40" s="17">
        <f t="shared" si="5"/>
        <v>196000</v>
      </c>
      <c r="L40" s="17">
        <f t="shared" si="5"/>
        <v>589775.12</v>
      </c>
      <c r="M40" s="281">
        <f t="shared" si="0"/>
        <v>0</v>
      </c>
    </row>
    <row r="41" spans="1:13" ht="15.75" thickBot="1">
      <c r="A41" s="49"/>
      <c r="B41" s="50" t="s">
        <v>136</v>
      </c>
      <c r="C41" s="132"/>
      <c r="D41" s="24"/>
      <c r="E41" s="24">
        <v>4951277.61824</v>
      </c>
      <c r="F41" s="24">
        <f aca="true" t="shared" si="6" ref="F41:L41">+F18+F23+F28+F33+F40</f>
        <v>4951278.11191936</v>
      </c>
      <c r="G41" s="24">
        <f t="shared" si="6"/>
        <v>710067.5000000001</v>
      </c>
      <c r="H41" s="24">
        <f t="shared" si="6"/>
        <v>1115666.4366666665</v>
      </c>
      <c r="I41" s="24">
        <f t="shared" si="6"/>
        <v>1378446.2070666666</v>
      </c>
      <c r="J41" s="24">
        <f t="shared" si="6"/>
        <v>1180307.5054826667</v>
      </c>
      <c r="K41" s="24">
        <f t="shared" si="6"/>
        <v>566790.46270336</v>
      </c>
      <c r="L41" s="24">
        <f t="shared" si="6"/>
        <v>4951278.11191936</v>
      </c>
      <c r="M41" s="281">
        <f t="shared" si="0"/>
        <v>0</v>
      </c>
    </row>
    <row r="42" spans="1:13" ht="15.75" thickBot="1">
      <c r="A42" s="49"/>
      <c r="B42" s="50" t="s">
        <v>280</v>
      </c>
      <c r="C42" s="113"/>
      <c r="D42" s="24"/>
      <c r="E42" s="24">
        <v>396102.2094592</v>
      </c>
      <c r="F42" s="24">
        <f aca="true" t="shared" si="7" ref="F42:L42">0.08*F41</f>
        <v>396102.24895354884</v>
      </c>
      <c r="G42" s="24">
        <f t="shared" si="7"/>
        <v>56805.40000000001</v>
      </c>
      <c r="H42" s="24">
        <f t="shared" si="7"/>
        <v>89253.31493333333</v>
      </c>
      <c r="I42" s="24">
        <f t="shared" si="7"/>
        <v>110275.69656533333</v>
      </c>
      <c r="J42" s="24">
        <f t="shared" si="7"/>
        <v>94424.60043861333</v>
      </c>
      <c r="K42" s="24">
        <f t="shared" si="7"/>
        <v>45343.2370162688</v>
      </c>
      <c r="L42" s="24">
        <f t="shared" si="7"/>
        <v>396102.24895354884</v>
      </c>
      <c r="M42" s="281">
        <f t="shared" si="0"/>
        <v>0</v>
      </c>
    </row>
    <row r="43" spans="1:13" ht="15.75" thickBot="1">
      <c r="A43" s="49"/>
      <c r="B43" s="50" t="s">
        <v>281</v>
      </c>
      <c r="C43" s="113"/>
      <c r="D43" s="24"/>
      <c r="E43" s="24">
        <v>5347379.827699199</v>
      </c>
      <c r="F43" s="24">
        <f aca="true" t="shared" si="8" ref="F43:L43">F42+F41</f>
        <v>5347380.360872909</v>
      </c>
      <c r="G43" s="24">
        <f t="shared" si="8"/>
        <v>766872.9000000001</v>
      </c>
      <c r="H43" s="24">
        <f t="shared" si="8"/>
        <v>1204919.7515999998</v>
      </c>
      <c r="I43" s="24">
        <f t="shared" si="8"/>
        <v>1488721.9036319999</v>
      </c>
      <c r="J43" s="24">
        <f t="shared" si="8"/>
        <v>1274732.10592128</v>
      </c>
      <c r="K43" s="24">
        <f t="shared" si="8"/>
        <v>612133.6997196288</v>
      </c>
      <c r="L43" s="24">
        <f t="shared" si="8"/>
        <v>5347380.360872909</v>
      </c>
      <c r="M43" s="281">
        <f t="shared" si="0"/>
        <v>0</v>
      </c>
    </row>
    <row r="44" spans="1:5" ht="15">
      <c r="A44" s="7"/>
      <c r="B44" s="10"/>
      <c r="C44" s="114"/>
      <c r="D44" s="1"/>
      <c r="E44" s="1"/>
    </row>
    <row r="45" spans="1:5" ht="15">
      <c r="A45" s="7"/>
      <c r="B45" s="10"/>
      <c r="C45" s="114"/>
      <c r="D45" s="1"/>
      <c r="E45" s="1"/>
    </row>
    <row r="46" spans="1:5" ht="15">
      <c r="A46" s="7"/>
      <c r="B46" s="10"/>
      <c r="C46" s="114"/>
      <c r="D46" s="1"/>
      <c r="E46" s="1"/>
    </row>
    <row r="47" spans="1:5" ht="15">
      <c r="A47" s="7"/>
      <c r="B47" s="10"/>
      <c r="C47" s="114"/>
      <c r="D47" s="1"/>
      <c r="E47" s="1"/>
    </row>
    <row r="48" spans="1:5" ht="15">
      <c r="A48" s="7"/>
      <c r="B48" s="10"/>
      <c r="C48" s="114"/>
      <c r="D48" s="1"/>
      <c r="E48" s="1"/>
    </row>
    <row r="49" spans="1:5" ht="15">
      <c r="A49" s="7"/>
      <c r="B49" s="10"/>
      <c r="C49" s="114"/>
      <c r="D49" s="1"/>
      <c r="E49" s="1"/>
    </row>
    <row r="50" spans="1:5" ht="15">
      <c r="A50" s="7"/>
      <c r="B50" s="10"/>
      <c r="C50" s="114"/>
      <c r="D50" s="1"/>
      <c r="E50" s="1"/>
    </row>
    <row r="51" spans="1:5" ht="15">
      <c r="A51" s="7"/>
      <c r="B51" s="10"/>
      <c r="C51" s="114"/>
      <c r="D51" s="1"/>
      <c r="E51" s="1"/>
    </row>
    <row r="52" spans="1:5" ht="15">
      <c r="A52" s="7"/>
      <c r="B52" s="10"/>
      <c r="C52" s="114"/>
      <c r="D52" s="1"/>
      <c r="E52" s="1"/>
    </row>
    <row r="53" spans="1:5" ht="15">
      <c r="A53" s="7"/>
      <c r="B53" s="10"/>
      <c r="C53" s="114"/>
      <c r="D53" s="1"/>
      <c r="E53" s="1"/>
    </row>
    <row r="54" spans="1:5" ht="15">
      <c r="A54" s="7"/>
      <c r="B54" s="10"/>
      <c r="C54" s="114"/>
      <c r="D54" s="1"/>
      <c r="E54" s="1"/>
    </row>
    <row r="55" spans="1:5" ht="15">
      <c r="A55" s="7"/>
      <c r="B55" s="10"/>
      <c r="C55" s="114"/>
      <c r="D55" s="1"/>
      <c r="E55" s="1"/>
    </row>
    <row r="56" spans="1:5" ht="15">
      <c r="A56" s="7"/>
      <c r="B56" s="10"/>
      <c r="C56" s="114"/>
      <c r="D56" s="1"/>
      <c r="E56" s="1"/>
    </row>
    <row r="57" spans="1:5" ht="15">
      <c r="A57" s="7"/>
      <c r="B57" s="10"/>
      <c r="C57" s="114"/>
      <c r="D57" s="1"/>
      <c r="E57" s="1"/>
    </row>
    <row r="58" spans="1:5" ht="15">
      <c r="A58" s="7"/>
      <c r="B58" s="10"/>
      <c r="C58" s="114"/>
      <c r="D58" s="1"/>
      <c r="E58" s="1"/>
    </row>
    <row r="59" spans="1:5" ht="15">
      <c r="A59" s="7"/>
      <c r="B59" s="10"/>
      <c r="C59" s="114"/>
      <c r="D59" s="1"/>
      <c r="E59" s="1"/>
    </row>
    <row r="60" spans="1:5" ht="15">
      <c r="A60" s="7"/>
      <c r="B60" s="10"/>
      <c r="C60" s="114"/>
      <c r="D60" s="1"/>
      <c r="E60" s="1"/>
    </row>
    <row r="61" spans="1:5" ht="15">
      <c r="A61" s="7"/>
      <c r="B61" s="10"/>
      <c r="C61" s="114"/>
      <c r="D61" s="1"/>
      <c r="E61" s="1"/>
    </row>
    <row r="62" spans="1:5" ht="15">
      <c r="A62" s="7"/>
      <c r="B62" s="10"/>
      <c r="C62" s="114"/>
      <c r="D62" s="1"/>
      <c r="E62" s="1"/>
    </row>
    <row r="63" spans="1:5" ht="15">
      <c r="A63" s="7"/>
      <c r="B63" s="10"/>
      <c r="C63" s="114"/>
      <c r="D63" s="1"/>
      <c r="E63" s="1"/>
    </row>
    <row r="64" spans="1:5" ht="15">
      <c r="A64" s="7"/>
      <c r="B64" s="10"/>
      <c r="C64" s="114"/>
      <c r="D64" s="1"/>
      <c r="E64" s="1"/>
    </row>
    <row r="65" spans="1:5" ht="15">
      <c r="A65" s="7"/>
      <c r="B65" s="10"/>
      <c r="C65" s="114"/>
      <c r="D65" s="1"/>
      <c r="E65" s="1"/>
    </row>
    <row r="66" spans="1:5" ht="15">
      <c r="A66" s="7"/>
      <c r="B66" s="10"/>
      <c r="C66" s="114"/>
      <c r="D66" s="1"/>
      <c r="E66" s="1"/>
    </row>
    <row r="67" spans="1:5" ht="15">
      <c r="A67" s="7"/>
      <c r="B67" s="10"/>
      <c r="C67" s="114"/>
      <c r="D67" s="1"/>
      <c r="E67" s="1"/>
    </row>
    <row r="68" spans="1:5" ht="15">
      <c r="A68" s="7"/>
      <c r="B68" s="10"/>
      <c r="C68" s="114"/>
      <c r="D68" s="1"/>
      <c r="E68" s="1"/>
    </row>
    <row r="69" spans="1:5" ht="15">
      <c r="A69" s="7"/>
      <c r="B69" s="10"/>
      <c r="C69" s="114"/>
      <c r="D69" s="1"/>
      <c r="E69" s="1"/>
    </row>
    <row r="70" spans="1:5" ht="15">
      <c r="A70" s="7"/>
      <c r="B70" s="10"/>
      <c r="C70" s="114"/>
      <c r="D70" s="1"/>
      <c r="E70" s="1"/>
    </row>
    <row r="71" spans="1:5" ht="15">
      <c r="A71" s="7"/>
      <c r="B71" s="10"/>
      <c r="C71" s="114"/>
      <c r="D71" s="1"/>
      <c r="E71" s="1"/>
    </row>
    <row r="72" spans="1:5" ht="15">
      <c r="A72" s="7"/>
      <c r="B72" s="10"/>
      <c r="C72" s="114"/>
      <c r="D72" s="1"/>
      <c r="E72" s="1"/>
    </row>
    <row r="73" spans="1:5" ht="15">
      <c r="A73" s="7"/>
      <c r="B73" s="10"/>
      <c r="C73" s="114"/>
      <c r="D73" s="1"/>
      <c r="E73" s="1"/>
    </row>
    <row r="74" spans="1:5" ht="15">
      <c r="A74" s="7"/>
      <c r="B74" s="10"/>
      <c r="C74" s="114"/>
      <c r="D74" s="1"/>
      <c r="E74" s="1"/>
    </row>
    <row r="75" spans="1:5" ht="15">
      <c r="A75" s="7"/>
      <c r="B75" s="10"/>
      <c r="C75" s="114"/>
      <c r="D75" s="1"/>
      <c r="E75" s="1"/>
    </row>
    <row r="76" spans="1:5" ht="15">
      <c r="A76" s="7"/>
      <c r="B76" s="10"/>
      <c r="C76" s="114"/>
      <c r="D76" s="1"/>
      <c r="E76" s="1"/>
    </row>
    <row r="77" spans="1:5" ht="15">
      <c r="A77" s="7"/>
      <c r="B77" s="10"/>
      <c r="C77" s="114"/>
      <c r="D77" s="1"/>
      <c r="E77" s="1"/>
    </row>
    <row r="78" spans="1:5" ht="15">
      <c r="A78" s="7"/>
      <c r="B78" s="10"/>
      <c r="C78" s="114"/>
      <c r="D78" s="1"/>
      <c r="E78" s="1"/>
    </row>
    <row r="79" spans="1:5" ht="15">
      <c r="A79" s="7"/>
      <c r="B79" s="10"/>
      <c r="C79" s="114"/>
      <c r="D79" s="1"/>
      <c r="E79" s="1"/>
    </row>
    <row r="80" spans="1:5" ht="15">
      <c r="A80" s="7"/>
      <c r="B80" s="10"/>
      <c r="C80" s="114"/>
      <c r="D80" s="1"/>
      <c r="E80" s="1"/>
    </row>
    <row r="81" spans="1:5" ht="15">
      <c r="A81" s="7"/>
      <c r="B81" s="10"/>
      <c r="C81" s="114"/>
      <c r="D81" s="1"/>
      <c r="E81" s="1"/>
    </row>
    <row r="82" spans="1:5" ht="15">
      <c r="A82" s="7"/>
      <c r="B82" s="10"/>
      <c r="C82" s="114"/>
      <c r="D82" s="1"/>
      <c r="E82" s="1"/>
    </row>
    <row r="83" spans="1:5" ht="15">
      <c r="A83" s="7"/>
      <c r="B83" s="10"/>
      <c r="C83" s="114"/>
      <c r="D83" s="1"/>
      <c r="E83" s="1"/>
    </row>
    <row r="84" spans="1:5" ht="15">
      <c r="A84" s="7"/>
      <c r="B84" s="10"/>
      <c r="C84" s="114"/>
      <c r="D84" s="1"/>
      <c r="E84" s="1"/>
    </row>
    <row r="85" spans="1:5" ht="15">
      <c r="A85" s="7"/>
      <c r="B85" s="10"/>
      <c r="C85" s="114"/>
      <c r="D85" s="1"/>
      <c r="E85" s="1"/>
    </row>
    <row r="86" spans="1:5" ht="15">
      <c r="A86" s="7"/>
      <c r="B86" s="10"/>
      <c r="C86" s="114"/>
      <c r="D86" s="1"/>
      <c r="E86" s="1"/>
    </row>
    <row r="87" spans="1:5" ht="15">
      <c r="A87" s="7"/>
      <c r="B87" s="10"/>
      <c r="C87" s="114"/>
      <c r="D87" s="1"/>
      <c r="E87" s="1"/>
    </row>
    <row r="88" spans="1:5" ht="15">
      <c r="A88" s="7"/>
      <c r="B88" s="10"/>
      <c r="C88" s="114"/>
      <c r="D88" s="1"/>
      <c r="E88" s="1"/>
    </row>
    <row r="89" spans="1:5" ht="15">
      <c r="A89" s="7"/>
      <c r="B89" s="10"/>
      <c r="C89" s="114"/>
      <c r="D89" s="1"/>
      <c r="E89" s="1"/>
    </row>
    <row r="90" spans="1:5" ht="15">
      <c r="A90" s="7"/>
      <c r="B90" s="10"/>
      <c r="C90" s="114"/>
      <c r="D90" s="1"/>
      <c r="E90" s="1"/>
    </row>
    <row r="91" spans="1:5" ht="15">
      <c r="A91" s="7"/>
      <c r="B91" s="10"/>
      <c r="C91" s="114"/>
      <c r="D91" s="1"/>
      <c r="E91" s="1"/>
    </row>
    <row r="92" spans="1:5" ht="15">
      <c r="A92" s="7"/>
      <c r="B92" s="10"/>
      <c r="C92" s="114"/>
      <c r="D92" s="1"/>
      <c r="E92" s="1"/>
    </row>
    <row r="93" spans="1:5" ht="15">
      <c r="A93" s="7"/>
      <c r="B93" s="10"/>
      <c r="C93" s="114"/>
      <c r="D93" s="1"/>
      <c r="E93" s="1"/>
    </row>
    <row r="94" spans="1:5" ht="15">
      <c r="A94" s="7"/>
      <c r="B94" s="10"/>
      <c r="C94" s="114"/>
      <c r="D94" s="1"/>
      <c r="E94" s="1"/>
    </row>
    <row r="95" spans="1:5" ht="15">
      <c r="A95" s="7"/>
      <c r="B95" s="10"/>
      <c r="C95" s="114"/>
      <c r="D95" s="1"/>
      <c r="E95" s="1"/>
    </row>
    <row r="96" spans="1:5" ht="15">
      <c r="A96" s="7"/>
      <c r="B96" s="10"/>
      <c r="C96" s="114"/>
      <c r="D96" s="1"/>
      <c r="E96" s="1"/>
    </row>
    <row r="97" spans="1:5" ht="15">
      <c r="A97" s="7"/>
      <c r="B97" s="10"/>
      <c r="C97" s="114"/>
      <c r="D97" s="1"/>
      <c r="E97" s="1"/>
    </row>
    <row r="98" spans="1:5" ht="15">
      <c r="A98" s="7"/>
      <c r="B98" s="10"/>
      <c r="C98" s="114"/>
      <c r="D98" s="1"/>
      <c r="E98" s="1"/>
    </row>
    <row r="99" spans="1:5" ht="15">
      <c r="A99" s="7"/>
      <c r="B99" s="10"/>
      <c r="C99" s="114"/>
      <c r="D99" s="1"/>
      <c r="E99" s="1"/>
    </row>
    <row r="100" spans="1:5" ht="15">
      <c r="A100" s="7"/>
      <c r="B100" s="10"/>
      <c r="C100" s="114"/>
      <c r="D100" s="1"/>
      <c r="E100" s="1"/>
    </row>
    <row r="101" spans="1:5" ht="15">
      <c r="A101" s="7"/>
      <c r="B101" s="10"/>
      <c r="C101" s="114"/>
      <c r="D101" s="1"/>
      <c r="E101" s="1"/>
    </row>
    <row r="102" spans="1:5" ht="15">
      <c r="A102" s="7"/>
      <c r="B102" s="10"/>
      <c r="C102" s="114"/>
      <c r="D102" s="1"/>
      <c r="E102" s="1"/>
    </row>
    <row r="103" spans="1:5" ht="15">
      <c r="A103" s="7"/>
      <c r="B103" s="10"/>
      <c r="C103" s="114"/>
      <c r="D103" s="1"/>
      <c r="E103" s="1"/>
    </row>
    <row r="104" spans="1:5" ht="15">
      <c r="A104" s="7"/>
      <c r="B104" s="10"/>
      <c r="C104" s="114"/>
      <c r="D104" s="1"/>
      <c r="E104" s="1"/>
    </row>
    <row r="105" spans="1:5" ht="15">
      <c r="A105" s="7"/>
      <c r="B105" s="10"/>
      <c r="C105" s="114"/>
      <c r="D105" s="1"/>
      <c r="E105" s="1"/>
    </row>
    <row r="106" spans="1:5" ht="15">
      <c r="A106" s="7"/>
      <c r="B106" s="10"/>
      <c r="C106" s="114"/>
      <c r="D106" s="1"/>
      <c r="E106" s="1"/>
    </row>
    <row r="107" spans="1:5" ht="15">
      <c r="A107" s="7"/>
      <c r="B107" s="10"/>
      <c r="C107" s="114"/>
      <c r="D107" s="1"/>
      <c r="E107" s="1"/>
    </row>
    <row r="108" spans="1:5" ht="15">
      <c r="A108" s="7"/>
      <c r="B108" s="10"/>
      <c r="C108" s="114"/>
      <c r="D108" s="1"/>
      <c r="E108" s="1"/>
    </row>
    <row r="109" spans="1:5" ht="15">
      <c r="A109" s="7"/>
      <c r="B109" s="10"/>
      <c r="C109" s="114"/>
      <c r="D109" s="1"/>
      <c r="E109" s="1"/>
    </row>
    <row r="110" spans="1:5" ht="15">
      <c r="A110" s="7"/>
      <c r="B110" s="10"/>
      <c r="C110" s="114"/>
      <c r="D110" s="1"/>
      <c r="E110" s="1"/>
    </row>
    <row r="111" spans="1:5" ht="15">
      <c r="A111" s="7"/>
      <c r="B111" s="10"/>
      <c r="C111" s="114"/>
      <c r="D111" s="1"/>
      <c r="E111" s="1"/>
    </row>
    <row r="112" spans="1:5" ht="15">
      <c r="A112" s="7"/>
      <c r="B112" s="10"/>
      <c r="C112" s="114"/>
      <c r="D112" s="1"/>
      <c r="E112" s="1"/>
    </row>
    <row r="113" spans="1:5" ht="15">
      <c r="A113" s="7"/>
      <c r="B113" s="10"/>
      <c r="C113" s="114"/>
      <c r="D113" s="1"/>
      <c r="E113" s="1"/>
    </row>
    <row r="114" spans="1:5" ht="15">
      <c r="A114" s="7"/>
      <c r="B114" s="10"/>
      <c r="C114" s="114"/>
      <c r="D114" s="1"/>
      <c r="E114" s="1"/>
    </row>
    <row r="115" spans="1:5" ht="15">
      <c r="A115" s="7"/>
      <c r="B115" s="10"/>
      <c r="C115" s="114"/>
      <c r="D115" s="1"/>
      <c r="E115" s="1"/>
    </row>
    <row r="116" spans="1:5" ht="15">
      <c r="A116" s="7"/>
      <c r="B116" s="10"/>
      <c r="C116" s="114"/>
      <c r="D116" s="1"/>
      <c r="E116" s="1"/>
    </row>
    <row r="117" spans="1:5" ht="15">
      <c r="A117" s="7"/>
      <c r="B117" s="10"/>
      <c r="C117" s="114"/>
      <c r="D117" s="1"/>
      <c r="E117" s="1"/>
    </row>
    <row r="118" spans="1:5" ht="15">
      <c r="A118" s="7"/>
      <c r="B118" s="10"/>
      <c r="C118" s="114"/>
      <c r="D118" s="1"/>
      <c r="E118" s="1"/>
    </row>
    <row r="119" spans="1:5" ht="15">
      <c r="A119" s="7"/>
      <c r="B119" s="10"/>
      <c r="C119" s="114"/>
      <c r="D119" s="1"/>
      <c r="E119" s="1"/>
    </row>
    <row r="120" spans="1:5" ht="15">
      <c r="A120" s="7"/>
      <c r="B120" s="10"/>
      <c r="C120" s="114"/>
      <c r="D120" s="1"/>
      <c r="E120" s="1"/>
    </row>
    <row r="121" spans="1:5" ht="15">
      <c r="A121" s="7"/>
      <c r="B121" s="10"/>
      <c r="C121" s="114"/>
      <c r="D121" s="1"/>
      <c r="E121" s="1"/>
    </row>
    <row r="122" spans="1:5" ht="15">
      <c r="A122" s="7"/>
      <c r="B122" s="10"/>
      <c r="C122" s="114"/>
      <c r="D122" s="1"/>
      <c r="E122" s="1"/>
    </row>
    <row r="123" spans="1:5" ht="15">
      <c r="A123" s="7"/>
      <c r="B123" s="10"/>
      <c r="C123" s="114"/>
      <c r="D123" s="1"/>
      <c r="E123" s="1"/>
    </row>
    <row r="124" spans="1:5" ht="15">
      <c r="A124" s="7"/>
      <c r="B124" s="10"/>
      <c r="C124" s="114"/>
      <c r="D124" s="1"/>
      <c r="E124" s="1"/>
    </row>
    <row r="125" spans="1:5" ht="15">
      <c r="A125" s="7"/>
      <c r="B125" s="10"/>
      <c r="C125" s="114"/>
      <c r="D125" s="1"/>
      <c r="E125" s="1"/>
    </row>
    <row r="126" spans="1:5" ht="15">
      <c r="A126" s="7"/>
      <c r="B126" s="10"/>
      <c r="C126" s="114"/>
      <c r="D126" s="1"/>
      <c r="E126" s="1"/>
    </row>
    <row r="127" spans="1:5" ht="15">
      <c r="A127" s="7"/>
      <c r="B127" s="10"/>
      <c r="C127" s="114"/>
      <c r="D127" s="1"/>
      <c r="E127" s="1"/>
    </row>
    <row r="128" spans="1:5" ht="15">
      <c r="A128" s="7"/>
      <c r="B128" s="10"/>
      <c r="C128" s="114"/>
      <c r="D128" s="1"/>
      <c r="E128" s="1"/>
    </row>
    <row r="129" spans="1:5" ht="15">
      <c r="A129" s="7"/>
      <c r="B129" s="10"/>
      <c r="C129" s="114"/>
      <c r="D129" s="1"/>
      <c r="E129" s="1"/>
    </row>
    <row r="130" spans="1:5" ht="15">
      <c r="A130" s="7"/>
      <c r="B130" s="10"/>
      <c r="C130" s="114"/>
      <c r="D130" s="1"/>
      <c r="E130" s="1"/>
    </row>
    <row r="131" spans="1:5" ht="15">
      <c r="A131" s="7"/>
      <c r="B131" s="10"/>
      <c r="C131" s="114"/>
      <c r="D131" s="1"/>
      <c r="E131" s="1"/>
    </row>
    <row r="132" spans="1:5" ht="15">
      <c r="A132" s="7"/>
      <c r="B132" s="10"/>
      <c r="C132" s="114"/>
      <c r="D132" s="1"/>
      <c r="E132" s="1"/>
    </row>
    <row r="133" spans="1:5" ht="15">
      <c r="A133" s="7"/>
      <c r="B133" s="10"/>
      <c r="C133" s="114"/>
      <c r="D133" s="1"/>
      <c r="E133" s="1"/>
    </row>
    <row r="134" spans="1:5" ht="15">
      <c r="A134" s="7"/>
      <c r="B134" s="10"/>
      <c r="C134" s="114"/>
      <c r="D134" s="1"/>
      <c r="E134" s="1"/>
    </row>
    <row r="135" spans="1:5" ht="15">
      <c r="A135" s="7"/>
      <c r="B135" s="10"/>
      <c r="C135" s="114"/>
      <c r="D135" s="1"/>
      <c r="E135" s="1"/>
    </row>
    <row r="136" spans="1:5" ht="15">
      <c r="A136" s="7"/>
      <c r="B136" s="10"/>
      <c r="C136" s="114"/>
      <c r="D136" s="1"/>
      <c r="E136" s="1"/>
    </row>
    <row r="137" spans="1:5" ht="15">
      <c r="A137" s="7"/>
      <c r="B137" s="10"/>
      <c r="C137" s="114"/>
      <c r="D137" s="1"/>
      <c r="E137" s="1"/>
    </row>
    <row r="138" spans="1:5" ht="15">
      <c r="A138" s="7"/>
      <c r="B138" s="10"/>
      <c r="C138" s="114"/>
      <c r="D138" s="1"/>
      <c r="E138" s="1"/>
    </row>
    <row r="139" spans="1:5" ht="15">
      <c r="A139" s="7"/>
      <c r="B139" s="10"/>
      <c r="C139" s="114"/>
      <c r="D139" s="1"/>
      <c r="E139" s="1"/>
    </row>
    <row r="140" spans="1:5" ht="15">
      <c r="A140" s="7"/>
      <c r="B140" s="10"/>
      <c r="C140" s="114"/>
      <c r="D140" s="1"/>
      <c r="E140" s="1"/>
    </row>
    <row r="141" spans="1:5" ht="15">
      <c r="A141" s="7"/>
      <c r="B141" s="10"/>
      <c r="C141" s="114"/>
      <c r="D141" s="1"/>
      <c r="E141" s="1"/>
    </row>
    <row r="142" spans="1:5" ht="15">
      <c r="A142" s="7"/>
      <c r="B142" s="10"/>
      <c r="C142" s="114"/>
      <c r="D142" s="1"/>
      <c r="E142" s="1"/>
    </row>
    <row r="143" spans="1:5" ht="15">
      <c r="A143" s="7"/>
      <c r="B143" s="10"/>
      <c r="C143" s="114"/>
      <c r="D143" s="1"/>
      <c r="E143" s="1"/>
    </row>
    <row r="144" spans="1:5" ht="15">
      <c r="A144" s="7"/>
      <c r="B144" s="10"/>
      <c r="C144" s="114"/>
      <c r="D144" s="1"/>
      <c r="E144" s="1"/>
    </row>
    <row r="145" spans="1:5" ht="15">
      <c r="A145" s="7"/>
      <c r="B145" s="10"/>
      <c r="C145" s="114"/>
      <c r="D145" s="1"/>
      <c r="E145" s="1"/>
    </row>
    <row r="146" spans="1:5" ht="15">
      <c r="A146" s="7"/>
      <c r="B146" s="10"/>
      <c r="C146" s="114"/>
      <c r="D146" s="1"/>
      <c r="E146" s="1"/>
    </row>
    <row r="147" spans="1:5" ht="15">
      <c r="A147" s="7"/>
      <c r="B147" s="10"/>
      <c r="C147" s="114"/>
      <c r="D147" s="1"/>
      <c r="E147" s="1"/>
    </row>
    <row r="148" spans="1:5" ht="15">
      <c r="A148" s="7"/>
      <c r="B148" s="10"/>
      <c r="C148" s="114"/>
      <c r="D148" s="1"/>
      <c r="E148" s="1"/>
    </row>
    <row r="149" spans="1:5" ht="15">
      <c r="A149" s="7"/>
      <c r="B149" s="10"/>
      <c r="C149" s="114"/>
      <c r="D149" s="1"/>
      <c r="E149" s="1"/>
    </row>
    <row r="150" spans="1:5" ht="15">
      <c r="A150" s="7"/>
      <c r="B150" s="10"/>
      <c r="C150" s="114"/>
      <c r="D150" s="1"/>
      <c r="E150" s="1"/>
    </row>
    <row r="151" spans="1:5" ht="15">
      <c r="A151" s="7"/>
      <c r="B151" s="10"/>
      <c r="C151" s="114"/>
      <c r="D151" s="1"/>
      <c r="E151" s="1"/>
    </row>
    <row r="152" spans="1:5" ht="15">
      <c r="A152" s="7"/>
      <c r="B152" s="10"/>
      <c r="C152" s="114"/>
      <c r="D152" s="1"/>
      <c r="E152" s="1"/>
    </row>
    <row r="153" spans="1:5" ht="15">
      <c r="A153" s="7"/>
      <c r="B153" s="10"/>
      <c r="C153" s="114"/>
      <c r="D153" s="1"/>
      <c r="E153" s="1"/>
    </row>
    <row r="154" spans="1:5" ht="15">
      <c r="A154" s="7"/>
      <c r="B154" s="10"/>
      <c r="C154" s="114"/>
      <c r="D154" s="1"/>
      <c r="E154" s="1"/>
    </row>
    <row r="155" spans="1:5" ht="15">
      <c r="A155" s="7"/>
      <c r="B155" s="10"/>
      <c r="C155" s="114"/>
      <c r="D155" s="1"/>
      <c r="E155" s="1"/>
    </row>
    <row r="156" spans="1:5" ht="15">
      <c r="A156" s="7"/>
      <c r="B156" s="10"/>
      <c r="C156" s="114"/>
      <c r="D156" s="1"/>
      <c r="E156" s="1"/>
    </row>
    <row r="157" spans="1:5" ht="15">
      <c r="A157" s="7"/>
      <c r="B157" s="10"/>
      <c r="C157" s="114"/>
      <c r="D157" s="1"/>
      <c r="E157" s="1"/>
    </row>
    <row r="158" spans="1:5" ht="15">
      <c r="A158" s="7"/>
      <c r="B158" s="10"/>
      <c r="C158" s="114"/>
      <c r="D158" s="1"/>
      <c r="E158" s="1"/>
    </row>
    <row r="159" spans="1:5" ht="15">
      <c r="A159" s="7"/>
      <c r="B159" s="10"/>
      <c r="C159" s="114"/>
      <c r="D159" s="1"/>
      <c r="E159" s="1"/>
    </row>
    <row r="160" spans="1:5" ht="15">
      <c r="A160" s="7"/>
      <c r="B160" s="10"/>
      <c r="C160" s="114"/>
      <c r="D160" s="1"/>
      <c r="E160" s="1"/>
    </row>
    <row r="161" spans="1:5" ht="15">
      <c r="A161" s="7"/>
      <c r="B161" s="10"/>
      <c r="C161" s="114"/>
      <c r="D161" s="1"/>
      <c r="E161" s="1"/>
    </row>
    <row r="162" spans="1:5" ht="15">
      <c r="A162" s="7"/>
      <c r="B162" s="10"/>
      <c r="C162" s="114"/>
      <c r="D162" s="1"/>
      <c r="E162" s="1"/>
    </row>
    <row r="163" spans="1:5" ht="15">
      <c r="A163" s="7"/>
      <c r="B163" s="10"/>
      <c r="C163" s="114"/>
      <c r="D163" s="1"/>
      <c r="E163" s="1"/>
    </row>
    <row r="164" spans="1:5" ht="15">
      <c r="A164" s="7"/>
      <c r="B164" s="10"/>
      <c r="C164" s="114"/>
      <c r="D164" s="1"/>
      <c r="E164" s="1"/>
    </row>
    <row r="165" spans="1:5" ht="15">
      <c r="A165" s="7"/>
      <c r="B165" s="10"/>
      <c r="C165" s="114"/>
      <c r="D165" s="1"/>
      <c r="E165" s="1"/>
    </row>
    <row r="166" spans="1:5" ht="15">
      <c r="A166" s="7"/>
      <c r="B166" s="10"/>
      <c r="C166" s="114"/>
      <c r="D166" s="1"/>
      <c r="E166" s="1"/>
    </row>
    <row r="167" spans="1:5" ht="15">
      <c r="A167" s="7"/>
      <c r="B167" s="10"/>
      <c r="C167" s="114"/>
      <c r="D167" s="1"/>
      <c r="E167" s="1"/>
    </row>
    <row r="168" spans="1:5" ht="15">
      <c r="A168" s="7"/>
      <c r="B168" s="10"/>
      <c r="C168" s="114"/>
      <c r="D168" s="1"/>
      <c r="E168" s="1"/>
    </row>
    <row r="169" spans="1:5" ht="15">
      <c r="A169" s="7"/>
      <c r="B169" s="10"/>
      <c r="C169" s="114"/>
      <c r="D169" s="1"/>
      <c r="E169" s="1"/>
    </row>
    <row r="170" spans="1:5" ht="15">
      <c r="A170" s="7"/>
      <c r="B170" s="10"/>
      <c r="C170" s="114"/>
      <c r="D170" s="1"/>
      <c r="E170" s="1"/>
    </row>
    <row r="171" spans="1:5" ht="15">
      <c r="A171" s="7"/>
      <c r="B171" s="10"/>
      <c r="C171" s="114"/>
      <c r="D171" s="1"/>
      <c r="E171" s="1"/>
    </row>
    <row r="172" spans="1:5" ht="15">
      <c r="A172" s="7"/>
      <c r="B172" s="10"/>
      <c r="C172" s="114"/>
      <c r="D172" s="1"/>
      <c r="E172" s="1"/>
    </row>
    <row r="173" spans="1:5" ht="15">
      <c r="A173" s="7"/>
      <c r="B173" s="10"/>
      <c r="C173" s="114"/>
      <c r="D173" s="1"/>
      <c r="E173" s="1"/>
    </row>
    <row r="174" spans="1:5" ht="15">
      <c r="A174" s="7"/>
      <c r="B174" s="10"/>
      <c r="C174" s="114"/>
      <c r="D174" s="1"/>
      <c r="E174" s="1"/>
    </row>
    <row r="175" spans="1:5" ht="15">
      <c r="A175" s="7"/>
      <c r="B175" s="10"/>
      <c r="C175" s="114"/>
      <c r="D175" s="1"/>
      <c r="E175" s="1"/>
    </row>
    <row r="176" spans="1:5" ht="15">
      <c r="A176" s="7"/>
      <c r="B176" s="10"/>
      <c r="C176" s="114"/>
      <c r="D176" s="1"/>
      <c r="E176" s="1"/>
    </row>
    <row r="177" spans="1:5" ht="15">
      <c r="A177" s="7"/>
      <c r="B177" s="10"/>
      <c r="C177" s="114"/>
      <c r="D177" s="1"/>
      <c r="E177" s="1"/>
    </row>
    <row r="178" spans="1:5" ht="15">
      <c r="A178" s="7"/>
      <c r="B178" s="10"/>
      <c r="C178" s="114"/>
      <c r="D178" s="1"/>
      <c r="E178" s="1"/>
    </row>
    <row r="179" spans="1:5" ht="15">
      <c r="A179" s="7"/>
      <c r="B179" s="10"/>
      <c r="C179" s="114"/>
      <c r="D179" s="1"/>
      <c r="E179" s="1"/>
    </row>
    <row r="180" spans="1:5" ht="15">
      <c r="A180" s="7"/>
      <c r="B180" s="10"/>
      <c r="C180" s="114"/>
      <c r="D180" s="1"/>
      <c r="E180" s="1"/>
    </row>
    <row r="181" spans="1:5" ht="15">
      <c r="A181" s="7"/>
      <c r="B181" s="10"/>
      <c r="C181" s="114"/>
      <c r="D181" s="1"/>
      <c r="E181" s="1"/>
    </row>
    <row r="182" spans="1:5" ht="15">
      <c r="A182" s="7"/>
      <c r="B182" s="10"/>
      <c r="C182" s="114"/>
      <c r="D182" s="1"/>
      <c r="E182" s="1"/>
    </row>
    <row r="183" spans="1:5" ht="15">
      <c r="A183" s="7"/>
      <c r="B183" s="10"/>
      <c r="C183" s="114"/>
      <c r="D183" s="1"/>
      <c r="E183" s="1"/>
    </row>
    <row r="184" spans="1:5" ht="15">
      <c r="A184" s="7"/>
      <c r="B184" s="10"/>
      <c r="C184" s="114"/>
      <c r="D184" s="1"/>
      <c r="E184" s="1"/>
    </row>
    <row r="185" spans="1:5" ht="15">
      <c r="A185" s="7"/>
      <c r="B185" s="10"/>
      <c r="C185" s="114"/>
      <c r="D185" s="1"/>
      <c r="E185" s="1"/>
    </row>
    <row r="186" spans="1:5" ht="15">
      <c r="A186" s="7"/>
      <c r="B186" s="10"/>
      <c r="C186" s="114"/>
      <c r="D186" s="1"/>
      <c r="E186" s="1"/>
    </row>
    <row r="187" spans="1:5" ht="15">
      <c r="A187" s="7"/>
      <c r="B187" s="10"/>
      <c r="C187" s="114"/>
      <c r="D187" s="1"/>
      <c r="E187" s="1"/>
    </row>
    <row r="188" spans="1:5" ht="15">
      <c r="A188" s="7"/>
      <c r="B188" s="10"/>
      <c r="C188" s="114"/>
      <c r="D188" s="1"/>
      <c r="E188" s="1"/>
    </row>
    <row r="189" spans="1:5" ht="15">
      <c r="A189" s="7"/>
      <c r="B189" s="10"/>
      <c r="C189" s="114"/>
      <c r="D189" s="1"/>
      <c r="E189" s="1"/>
    </row>
    <row r="190" spans="1:5" ht="15">
      <c r="A190" s="7"/>
      <c r="B190" s="10"/>
      <c r="C190" s="114"/>
      <c r="D190" s="1"/>
      <c r="E190" s="1"/>
    </row>
    <row r="191" spans="1:5" ht="15">
      <c r="A191" s="7"/>
      <c r="B191" s="10"/>
      <c r="C191" s="114"/>
      <c r="D191" s="1"/>
      <c r="E191" s="1"/>
    </row>
    <row r="192" spans="1:5" ht="15">
      <c r="A192" s="7"/>
      <c r="B192" s="10"/>
      <c r="C192" s="114"/>
      <c r="D192" s="1"/>
      <c r="E192" s="1"/>
    </row>
    <row r="193" spans="1:5" ht="15">
      <c r="A193" s="7"/>
      <c r="B193" s="10"/>
      <c r="C193" s="114"/>
      <c r="D193" s="1"/>
      <c r="E193" s="1"/>
    </row>
    <row r="194" spans="1:5" ht="15">
      <c r="A194" s="7"/>
      <c r="B194" s="10"/>
      <c r="C194" s="114"/>
      <c r="D194" s="1"/>
      <c r="E194" s="1"/>
    </row>
    <row r="195" spans="1:5" ht="15">
      <c r="A195" s="7"/>
      <c r="B195" s="10"/>
      <c r="C195" s="114"/>
      <c r="D195" s="1"/>
      <c r="E195" s="1"/>
    </row>
    <row r="196" spans="1:5" ht="15">
      <c r="A196" s="7"/>
      <c r="B196" s="10"/>
      <c r="C196" s="114"/>
      <c r="D196" s="1"/>
      <c r="E196" s="1"/>
    </row>
    <row r="197" spans="1:5" ht="15">
      <c r="A197" s="7"/>
      <c r="B197" s="10"/>
      <c r="C197" s="114"/>
      <c r="D197" s="1"/>
      <c r="E197" s="1"/>
    </row>
    <row r="198" spans="1:5" ht="15">
      <c r="A198" s="7"/>
      <c r="B198" s="10"/>
      <c r="C198" s="114"/>
      <c r="D198" s="1"/>
      <c r="E198" s="1"/>
    </row>
    <row r="199" spans="1:5" ht="15">
      <c r="A199" s="7"/>
      <c r="B199" s="10"/>
      <c r="C199" s="114"/>
      <c r="D199" s="1"/>
      <c r="E199" s="1"/>
    </row>
    <row r="200" spans="1:5" ht="15">
      <c r="A200" s="7"/>
      <c r="B200" s="10"/>
      <c r="C200" s="114"/>
      <c r="D200" s="1"/>
      <c r="E200" s="1"/>
    </row>
    <row r="201" spans="1:5" ht="15">
      <c r="A201" s="7"/>
      <c r="B201" s="10"/>
      <c r="C201" s="114"/>
      <c r="D201" s="1"/>
      <c r="E201" s="1"/>
    </row>
    <row r="202" spans="1:5" ht="15">
      <c r="A202" s="7"/>
      <c r="B202" s="10"/>
      <c r="C202" s="114"/>
      <c r="D202" s="1"/>
      <c r="E202" s="1"/>
    </row>
    <row r="203" spans="1:5" ht="15">
      <c r="A203" s="7"/>
      <c r="B203" s="10"/>
      <c r="C203" s="114"/>
      <c r="D203" s="1"/>
      <c r="E203" s="1"/>
    </row>
    <row r="204" spans="1:5" ht="15">
      <c r="A204" s="7"/>
      <c r="B204" s="10"/>
      <c r="C204" s="114"/>
      <c r="D204" s="1"/>
      <c r="E204" s="1"/>
    </row>
    <row r="205" spans="1:5" ht="15">
      <c r="A205" s="7"/>
      <c r="B205" s="10"/>
      <c r="C205" s="114"/>
      <c r="D205" s="1"/>
      <c r="E205" s="1"/>
    </row>
    <row r="206" spans="1:5" ht="15">
      <c r="A206" s="7"/>
      <c r="B206" s="10"/>
      <c r="C206" s="114"/>
      <c r="D206" s="1"/>
      <c r="E206" s="1"/>
    </row>
    <row r="207" spans="1:5" ht="15">
      <c r="A207" s="7"/>
      <c r="B207" s="10"/>
      <c r="C207" s="114"/>
      <c r="D207" s="1"/>
      <c r="E207" s="1"/>
    </row>
    <row r="208" spans="1:5" ht="15">
      <c r="A208" s="7"/>
      <c r="B208" s="10"/>
      <c r="C208" s="114"/>
      <c r="D208" s="1"/>
      <c r="E208" s="1"/>
    </row>
    <row r="209" spans="1:5" ht="15">
      <c r="A209" s="7"/>
      <c r="B209" s="10"/>
      <c r="C209" s="114"/>
      <c r="D209" s="1"/>
      <c r="E209" s="1"/>
    </row>
    <row r="210" spans="1:5" ht="15">
      <c r="A210" s="7"/>
      <c r="B210" s="10"/>
      <c r="C210" s="114"/>
      <c r="D210" s="1"/>
      <c r="E210" s="1"/>
    </row>
    <row r="211" spans="1:5" ht="15">
      <c r="A211" s="7"/>
      <c r="B211" s="10"/>
      <c r="C211" s="114"/>
      <c r="D211" s="1"/>
      <c r="E211" s="1"/>
    </row>
    <row r="212" spans="1:5" ht="15">
      <c r="A212" s="7"/>
      <c r="B212" s="10"/>
      <c r="C212" s="114"/>
      <c r="D212" s="1"/>
      <c r="E212" s="1"/>
    </row>
    <row r="213" spans="1:5" ht="15">
      <c r="A213" s="7"/>
      <c r="B213" s="10"/>
      <c r="C213" s="114"/>
      <c r="D213" s="1"/>
      <c r="E213" s="1"/>
    </row>
    <row r="214" spans="1:5" ht="15">
      <c r="A214" s="7"/>
      <c r="B214" s="10"/>
      <c r="C214" s="114"/>
      <c r="D214" s="1"/>
      <c r="E214" s="1"/>
    </row>
    <row r="215" spans="1:5" ht="15">
      <c r="A215" s="7"/>
      <c r="B215" s="10"/>
      <c r="C215" s="114"/>
      <c r="D215" s="1"/>
      <c r="E215" s="1"/>
    </row>
    <row r="216" spans="1:5" ht="15">
      <c r="A216" s="7"/>
      <c r="B216" s="10"/>
      <c r="C216" s="114"/>
      <c r="D216" s="1"/>
      <c r="E216" s="1"/>
    </row>
    <row r="217" spans="1:5" ht="15">
      <c r="A217" s="7"/>
      <c r="B217" s="10"/>
      <c r="C217" s="114"/>
      <c r="D217" s="1"/>
      <c r="E217" s="1"/>
    </row>
    <row r="218" spans="1:5" ht="15">
      <c r="A218" s="7"/>
      <c r="B218" s="10"/>
      <c r="C218" s="114"/>
      <c r="D218" s="1"/>
      <c r="E218" s="1"/>
    </row>
    <row r="219" spans="1:5" ht="15">
      <c r="A219" s="7"/>
      <c r="B219" s="10"/>
      <c r="C219" s="114"/>
      <c r="D219" s="1"/>
      <c r="E219" s="1"/>
    </row>
    <row r="220" spans="1:5" ht="15">
      <c r="A220" s="7"/>
      <c r="B220" s="10"/>
      <c r="C220" s="114"/>
      <c r="D220" s="1"/>
      <c r="E220" s="1"/>
    </row>
    <row r="221" spans="1:5" ht="15">
      <c r="A221" s="7"/>
      <c r="B221" s="10"/>
      <c r="C221" s="114"/>
      <c r="D221" s="1"/>
      <c r="E221" s="1"/>
    </row>
    <row r="222" spans="1:5" ht="15">
      <c r="A222" s="7"/>
      <c r="B222" s="10"/>
      <c r="C222" s="114"/>
      <c r="D222" s="1"/>
      <c r="E222" s="1"/>
    </row>
    <row r="223" spans="1:5" ht="15">
      <c r="A223" s="7"/>
      <c r="B223" s="10"/>
      <c r="C223" s="114"/>
      <c r="D223" s="1"/>
      <c r="E223" s="1"/>
    </row>
    <row r="224" spans="1:5" ht="15">
      <c r="A224" s="7"/>
      <c r="B224" s="10"/>
      <c r="C224" s="114"/>
      <c r="D224" s="1"/>
      <c r="E224" s="1"/>
    </row>
    <row r="225" spans="1:5" ht="15">
      <c r="A225" s="7"/>
      <c r="B225" s="10"/>
      <c r="C225" s="114"/>
      <c r="D225" s="1"/>
      <c r="E225" s="1"/>
    </row>
    <row r="226" spans="1:5" ht="15">
      <c r="A226" s="7"/>
      <c r="B226" s="10"/>
      <c r="C226" s="114"/>
      <c r="D226" s="1"/>
      <c r="E226" s="1"/>
    </row>
    <row r="227" spans="1:5" ht="15">
      <c r="A227" s="7"/>
      <c r="B227" s="10"/>
      <c r="C227" s="114"/>
      <c r="D227" s="1"/>
      <c r="E227" s="1"/>
    </row>
    <row r="228" spans="1:5" ht="15">
      <c r="A228" s="7"/>
      <c r="B228" s="10"/>
      <c r="C228" s="114"/>
      <c r="D228" s="1"/>
      <c r="E228" s="1"/>
    </row>
    <row r="229" spans="1:5" ht="15">
      <c r="A229" s="7"/>
      <c r="B229" s="10"/>
      <c r="C229" s="114"/>
      <c r="D229" s="1"/>
      <c r="E229" s="1"/>
    </row>
    <row r="230" spans="1:5" ht="15">
      <c r="A230" s="7"/>
      <c r="B230" s="10"/>
      <c r="C230" s="114"/>
      <c r="D230" s="1"/>
      <c r="E230" s="1"/>
    </row>
    <row r="231" spans="1:5" ht="15">
      <c r="A231" s="7"/>
      <c r="B231" s="10"/>
      <c r="C231" s="114"/>
      <c r="D231" s="1"/>
      <c r="E231" s="1"/>
    </row>
    <row r="232" spans="1:5" ht="15">
      <c r="A232" s="7"/>
      <c r="B232" s="10"/>
      <c r="C232" s="114"/>
      <c r="D232" s="1"/>
      <c r="E232" s="1"/>
    </row>
    <row r="233" spans="1:5" ht="15">
      <c r="A233" s="7"/>
      <c r="B233" s="10"/>
      <c r="C233" s="114"/>
      <c r="D233" s="1"/>
      <c r="E233" s="1"/>
    </row>
    <row r="234" spans="1:5" ht="15">
      <c r="A234" s="7"/>
      <c r="B234" s="10"/>
      <c r="C234" s="114"/>
      <c r="D234" s="1"/>
      <c r="E234" s="1"/>
    </row>
    <row r="235" spans="1:5" ht="15">
      <c r="A235" s="7"/>
      <c r="B235" s="10"/>
      <c r="C235" s="114"/>
      <c r="D235" s="1"/>
      <c r="E235" s="1"/>
    </row>
    <row r="236" spans="1:5" ht="15">
      <c r="A236" s="7"/>
      <c r="B236" s="10"/>
      <c r="C236" s="114"/>
      <c r="D236" s="1"/>
      <c r="E236" s="1"/>
    </row>
    <row r="237" spans="1:5" ht="15">
      <c r="A237" s="7"/>
      <c r="B237" s="10"/>
      <c r="C237" s="114"/>
      <c r="D237" s="1"/>
      <c r="E237" s="1"/>
    </row>
    <row r="238" spans="1:5" ht="15">
      <c r="A238" s="7"/>
      <c r="B238" s="10"/>
      <c r="C238" s="114"/>
      <c r="D238" s="1"/>
      <c r="E238" s="1"/>
    </row>
    <row r="239" spans="1:5" ht="15">
      <c r="A239" s="7"/>
      <c r="B239" s="10"/>
      <c r="C239" s="114"/>
      <c r="D239" s="1"/>
      <c r="E239" s="1"/>
    </row>
    <row r="240" spans="1:5" ht="15">
      <c r="A240" s="7"/>
      <c r="B240" s="10"/>
      <c r="C240" s="114"/>
      <c r="D240" s="1"/>
      <c r="E240" s="1"/>
    </row>
    <row r="241" spans="1:5" ht="15">
      <c r="A241" s="7"/>
      <c r="B241" s="10"/>
      <c r="C241" s="114"/>
      <c r="D241" s="1"/>
      <c r="E241" s="1"/>
    </row>
    <row r="242" spans="1:5" ht="15">
      <c r="A242" s="7"/>
      <c r="B242" s="10"/>
      <c r="C242" s="114"/>
      <c r="D242" s="1"/>
      <c r="E242" s="1"/>
    </row>
    <row r="243" spans="1:5" ht="15">
      <c r="A243" s="7"/>
      <c r="B243" s="10"/>
      <c r="C243" s="114"/>
      <c r="D243" s="1"/>
      <c r="E243" s="1"/>
    </row>
    <row r="244" spans="1:5" ht="15">
      <c r="A244" s="7"/>
      <c r="B244" s="10"/>
      <c r="C244" s="114"/>
      <c r="D244" s="1"/>
      <c r="E244" s="1"/>
    </row>
    <row r="245" spans="1:5" ht="15">
      <c r="A245" s="7"/>
      <c r="B245" s="10"/>
      <c r="C245" s="114"/>
      <c r="D245" s="1"/>
      <c r="E245" s="1"/>
    </row>
    <row r="246" spans="1:5" ht="15">
      <c r="A246" s="7"/>
      <c r="B246" s="10"/>
      <c r="C246" s="114"/>
      <c r="D246" s="1"/>
      <c r="E246" s="1"/>
    </row>
    <row r="247" spans="1:5" ht="15">
      <c r="A247" s="7"/>
      <c r="B247" s="10"/>
      <c r="C247" s="114"/>
      <c r="D247" s="1"/>
      <c r="E247" s="1"/>
    </row>
    <row r="248" spans="1:5" ht="15">
      <c r="A248" s="7"/>
      <c r="B248" s="10"/>
      <c r="C248" s="114"/>
      <c r="D248" s="1"/>
      <c r="E248" s="1"/>
    </row>
    <row r="249" spans="1:5" ht="15">
      <c r="A249" s="7"/>
      <c r="B249" s="10"/>
      <c r="C249" s="114"/>
      <c r="D249" s="1"/>
      <c r="E249" s="1"/>
    </row>
    <row r="250" spans="1:5" ht="15">
      <c r="A250" s="7"/>
      <c r="B250" s="10"/>
      <c r="C250" s="114"/>
      <c r="D250" s="1"/>
      <c r="E250" s="1"/>
    </row>
    <row r="251" spans="1:5" ht="15">
      <c r="A251" s="7"/>
      <c r="B251" s="10"/>
      <c r="C251" s="114"/>
      <c r="D251" s="1"/>
      <c r="E251" s="1"/>
    </row>
    <row r="252" spans="1:5" ht="15">
      <c r="A252" s="7"/>
      <c r="B252" s="10"/>
      <c r="C252" s="114"/>
      <c r="D252" s="1"/>
      <c r="E252" s="1"/>
    </row>
    <row r="253" spans="1:5" ht="15">
      <c r="A253" s="7"/>
      <c r="B253" s="10"/>
      <c r="C253" s="114"/>
      <c r="D253" s="1"/>
      <c r="E253" s="1"/>
    </row>
    <row r="254" spans="1:5" ht="15">
      <c r="A254" s="7"/>
      <c r="B254" s="10"/>
      <c r="C254" s="114"/>
      <c r="D254" s="1"/>
      <c r="E254" s="1"/>
    </row>
    <row r="255" spans="1:5" ht="15">
      <c r="A255" s="7"/>
      <c r="B255" s="10"/>
      <c r="C255" s="114"/>
      <c r="D255" s="1"/>
      <c r="E255" s="1"/>
    </row>
    <row r="256" spans="1:5" ht="15">
      <c r="A256" s="7"/>
      <c r="B256" s="10"/>
      <c r="C256" s="114"/>
      <c r="D256" s="1"/>
      <c r="E256" s="1"/>
    </row>
    <row r="257" spans="1:5" ht="15">
      <c r="A257" s="7"/>
      <c r="B257" s="10"/>
      <c r="C257" s="114"/>
      <c r="D257" s="1"/>
      <c r="E257" s="1"/>
    </row>
    <row r="258" spans="1:5" ht="15">
      <c r="A258" s="7"/>
      <c r="B258" s="10"/>
      <c r="C258" s="114"/>
      <c r="D258" s="1"/>
      <c r="E258" s="1"/>
    </row>
    <row r="259" spans="1:5" ht="15">
      <c r="A259" s="7"/>
      <c r="B259" s="10"/>
      <c r="C259" s="114"/>
      <c r="D259" s="1"/>
      <c r="E259" s="1"/>
    </row>
    <row r="260" spans="1:5" ht="15">
      <c r="A260" s="7"/>
      <c r="B260" s="10"/>
      <c r="C260" s="114"/>
      <c r="D260" s="1"/>
      <c r="E260" s="1"/>
    </row>
    <row r="261" spans="1:5" ht="15">
      <c r="A261" s="7"/>
      <c r="B261" s="10"/>
      <c r="C261" s="114"/>
      <c r="D261" s="1"/>
      <c r="E261" s="1"/>
    </row>
    <row r="262" spans="1:5" ht="15">
      <c r="A262" s="7"/>
      <c r="B262" s="10"/>
      <c r="C262" s="114"/>
      <c r="D262" s="1"/>
      <c r="E262" s="1"/>
    </row>
    <row r="263" spans="1:5" ht="15">
      <c r="A263" s="7"/>
      <c r="B263" s="10"/>
      <c r="C263" s="114"/>
      <c r="D263" s="1"/>
      <c r="E263" s="1"/>
    </row>
    <row r="264" spans="1:5" ht="15">
      <c r="A264" s="7"/>
      <c r="B264" s="10"/>
      <c r="C264" s="114"/>
      <c r="D264" s="1"/>
      <c r="E264" s="1"/>
    </row>
    <row r="265" spans="1:5" ht="15">
      <c r="A265" s="7"/>
      <c r="B265" s="10"/>
      <c r="C265" s="114"/>
      <c r="D265" s="1"/>
      <c r="E265" s="1"/>
    </row>
    <row r="266" spans="1:5" ht="15">
      <c r="A266" s="7"/>
      <c r="B266" s="10"/>
      <c r="C266" s="114"/>
      <c r="D266" s="1"/>
      <c r="E266" s="1"/>
    </row>
    <row r="267" spans="1:5" ht="15">
      <c r="A267" s="7"/>
      <c r="B267" s="10"/>
      <c r="C267" s="114"/>
      <c r="D267" s="1"/>
      <c r="E267" s="1"/>
    </row>
    <row r="268" spans="1:5" ht="15">
      <c r="A268" s="7"/>
      <c r="B268" s="10"/>
      <c r="C268" s="114"/>
      <c r="D268" s="1"/>
      <c r="E268" s="1"/>
    </row>
    <row r="269" spans="1:5" ht="15">
      <c r="A269" s="7"/>
      <c r="B269" s="10"/>
      <c r="C269" s="114"/>
      <c r="D269" s="1"/>
      <c r="E269" s="1"/>
    </row>
    <row r="270" spans="1:5" ht="15">
      <c r="A270" s="7"/>
      <c r="B270" s="10"/>
      <c r="C270" s="114"/>
      <c r="D270" s="1"/>
      <c r="E270" s="1"/>
    </row>
    <row r="271" spans="1:5" ht="15">
      <c r="A271" s="7"/>
      <c r="B271" s="10"/>
      <c r="C271" s="114"/>
      <c r="D271" s="1"/>
      <c r="E271" s="1"/>
    </row>
    <row r="272" spans="1:5" ht="15">
      <c r="A272" s="7"/>
      <c r="B272" s="10"/>
      <c r="C272" s="114"/>
      <c r="D272" s="1"/>
      <c r="E272" s="1"/>
    </row>
    <row r="273" spans="1:5" ht="15">
      <c r="A273" s="7"/>
      <c r="B273" s="10"/>
      <c r="C273" s="114"/>
      <c r="D273" s="1"/>
      <c r="E273" s="1"/>
    </row>
    <row r="274" spans="1:5" ht="15">
      <c r="A274" s="7"/>
      <c r="B274" s="10"/>
      <c r="C274" s="114"/>
      <c r="D274" s="1"/>
      <c r="E274" s="1"/>
    </row>
    <row r="275" spans="1:5" ht="15">
      <c r="A275" s="7"/>
      <c r="B275" s="10"/>
      <c r="C275" s="114"/>
      <c r="D275" s="1"/>
      <c r="E275" s="1"/>
    </row>
    <row r="276" spans="1:5" ht="15">
      <c r="A276" s="7"/>
      <c r="B276" s="10"/>
      <c r="C276" s="114"/>
      <c r="D276" s="1"/>
      <c r="E276" s="1"/>
    </row>
    <row r="277" spans="1:5" ht="15">
      <c r="A277" s="7"/>
      <c r="B277" s="10"/>
      <c r="C277" s="114"/>
      <c r="D277" s="1"/>
      <c r="E277" s="1"/>
    </row>
    <row r="278" spans="1:5" ht="15">
      <c r="A278" s="7"/>
      <c r="B278" s="10"/>
      <c r="C278" s="114"/>
      <c r="D278" s="1"/>
      <c r="E278" s="1"/>
    </row>
    <row r="279" spans="1:5" ht="15">
      <c r="A279" s="7"/>
      <c r="B279" s="10"/>
      <c r="C279" s="114"/>
      <c r="D279" s="1"/>
      <c r="E279" s="1"/>
    </row>
    <row r="280" spans="1:5" ht="15">
      <c r="A280" s="7"/>
      <c r="B280" s="10"/>
      <c r="C280" s="114"/>
      <c r="D280" s="1"/>
      <c r="E280" s="1"/>
    </row>
    <row r="281" spans="1:5" ht="15">
      <c r="A281" s="7"/>
      <c r="B281" s="10"/>
      <c r="C281" s="114"/>
      <c r="D281" s="1"/>
      <c r="E281" s="1"/>
    </row>
    <row r="282" spans="1:5" ht="15">
      <c r="A282" s="7"/>
      <c r="B282" s="10"/>
      <c r="C282" s="114"/>
      <c r="D282" s="1"/>
      <c r="E282" s="1"/>
    </row>
    <row r="283" spans="1:5" ht="15">
      <c r="A283" s="7"/>
      <c r="B283" s="10"/>
      <c r="C283" s="114"/>
      <c r="D283" s="1"/>
      <c r="E283" s="1"/>
    </row>
    <row r="284" spans="1:5" ht="15">
      <c r="A284" s="7"/>
      <c r="B284" s="10"/>
      <c r="C284" s="114"/>
      <c r="D284" s="1"/>
      <c r="E284" s="1"/>
    </row>
    <row r="285" spans="1:5" ht="15">
      <c r="A285" s="7"/>
      <c r="B285" s="10"/>
      <c r="C285" s="114"/>
      <c r="D285" s="1"/>
      <c r="E285" s="1"/>
    </row>
    <row r="286" spans="1:5" ht="15">
      <c r="A286" s="7"/>
      <c r="B286" s="10"/>
      <c r="C286" s="114"/>
      <c r="D286" s="1"/>
      <c r="E286" s="1"/>
    </row>
    <row r="287" spans="1:5" ht="15">
      <c r="A287" s="7"/>
      <c r="B287" s="10"/>
      <c r="C287" s="114"/>
      <c r="D287" s="1"/>
      <c r="E287" s="1"/>
    </row>
    <row r="288" spans="1:5" ht="15">
      <c r="A288" s="7"/>
      <c r="B288" s="10"/>
      <c r="C288" s="114"/>
      <c r="D288" s="1"/>
      <c r="E288" s="1"/>
    </row>
    <row r="289" spans="1:5" ht="15">
      <c r="A289" s="7"/>
      <c r="B289" s="10"/>
      <c r="C289" s="114"/>
      <c r="D289" s="1"/>
      <c r="E289" s="1"/>
    </row>
    <row r="290" spans="1:5" ht="15">
      <c r="A290" s="7"/>
      <c r="B290" s="10"/>
      <c r="C290" s="114"/>
      <c r="D290" s="1"/>
      <c r="E290" s="1"/>
    </row>
    <row r="291" spans="1:5" ht="15">
      <c r="A291" s="7"/>
      <c r="B291" s="10"/>
      <c r="C291" s="114"/>
      <c r="D291" s="1"/>
      <c r="E291" s="1"/>
    </row>
    <row r="292" spans="1:5" ht="15">
      <c r="A292" s="7"/>
      <c r="B292" s="10"/>
      <c r="C292" s="114"/>
      <c r="D292" s="1"/>
      <c r="E292" s="1"/>
    </row>
    <row r="293" spans="1:5" ht="15">
      <c r="A293" s="7"/>
      <c r="B293" s="10"/>
      <c r="C293" s="114"/>
      <c r="D293" s="1"/>
      <c r="E293" s="1"/>
    </row>
    <row r="294" spans="1:5" ht="15">
      <c r="A294" s="7"/>
      <c r="B294" s="10"/>
      <c r="C294" s="114"/>
      <c r="D294" s="1"/>
      <c r="E294" s="1"/>
    </row>
    <row r="295" spans="1:5" ht="15">
      <c r="A295" s="7"/>
      <c r="B295" s="10"/>
      <c r="C295" s="114"/>
      <c r="D295" s="1"/>
      <c r="E295" s="1"/>
    </row>
    <row r="296" spans="1:5" ht="15">
      <c r="A296" s="7"/>
      <c r="B296" s="10"/>
      <c r="C296" s="114"/>
      <c r="D296" s="1"/>
      <c r="E296" s="1"/>
    </row>
    <row r="297" spans="1:5" ht="15">
      <c r="A297" s="7"/>
      <c r="B297" s="10"/>
      <c r="C297" s="114"/>
      <c r="D297" s="1"/>
      <c r="E297" s="1"/>
    </row>
    <row r="298" spans="1:5" ht="15">
      <c r="A298" s="7"/>
      <c r="B298" s="10"/>
      <c r="C298" s="114"/>
      <c r="D298" s="1"/>
      <c r="E298" s="1"/>
    </row>
    <row r="299" spans="1:5" ht="15">
      <c r="A299" s="7"/>
      <c r="B299" s="10"/>
      <c r="C299" s="114"/>
      <c r="D299" s="1"/>
      <c r="E299" s="1"/>
    </row>
    <row r="300" spans="1:5" ht="15">
      <c r="A300" s="7"/>
      <c r="B300" s="10"/>
      <c r="C300" s="114"/>
      <c r="D300" s="1"/>
      <c r="E300" s="1"/>
    </row>
    <row r="301" spans="1:5" ht="15">
      <c r="A301" s="7"/>
      <c r="B301" s="10"/>
      <c r="C301" s="114"/>
      <c r="D301" s="1"/>
      <c r="E301" s="1"/>
    </row>
    <row r="302" spans="1:5" ht="15">
      <c r="A302" s="7"/>
      <c r="B302" s="10"/>
      <c r="C302" s="114"/>
      <c r="D302" s="1"/>
      <c r="E302" s="1"/>
    </row>
    <row r="303" spans="1:5" ht="15">
      <c r="A303" s="7"/>
      <c r="B303" s="10"/>
      <c r="C303" s="114"/>
      <c r="D303" s="1"/>
      <c r="E303" s="1"/>
    </row>
    <row r="304" spans="1:5" ht="15">
      <c r="A304" s="7"/>
      <c r="B304" s="10"/>
      <c r="C304" s="114"/>
      <c r="D304" s="1"/>
      <c r="E304" s="1"/>
    </row>
    <row r="305" spans="1:5" ht="15">
      <c r="A305" s="7"/>
      <c r="B305" s="10"/>
      <c r="C305" s="114"/>
      <c r="D305" s="1"/>
      <c r="E305" s="1"/>
    </row>
    <row r="306" spans="1:5" ht="15">
      <c r="A306" s="7"/>
      <c r="B306" s="10"/>
      <c r="C306" s="114"/>
      <c r="D306" s="1"/>
      <c r="E306" s="1"/>
    </row>
  </sheetData>
  <mergeCells count="3">
    <mergeCell ref="A1:E1"/>
    <mergeCell ref="A11:C11"/>
    <mergeCell ref="D9:E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G31" sqref="G31"/>
    </sheetView>
  </sheetViews>
  <sheetFormatPr defaultColWidth="8.796875" defaultRowHeight="15"/>
  <cols>
    <col min="1" max="1" width="25.09765625" style="159" bestFit="1" customWidth="1"/>
    <col min="2" max="5" width="11.59765625" style="159" customWidth="1"/>
    <col min="6" max="16384" width="11.59765625" style="0" customWidth="1"/>
  </cols>
  <sheetData>
    <row r="1" spans="6:7" ht="15">
      <c r="F1" t="s">
        <v>337</v>
      </c>
      <c r="G1" t="s">
        <v>336</v>
      </c>
    </row>
    <row r="2" spans="1:7" ht="15.75">
      <c r="A2" s="160" t="s">
        <v>328</v>
      </c>
      <c r="B2" s="160" t="s">
        <v>329</v>
      </c>
      <c r="C2" s="160" t="s">
        <v>330</v>
      </c>
      <c r="D2" s="159" t="s">
        <v>336</v>
      </c>
      <c r="F2">
        <v>1</v>
      </c>
      <c r="G2" s="163">
        <v>415.887</v>
      </c>
    </row>
    <row r="3" spans="1:7" ht="15.75">
      <c r="A3" s="161" t="s">
        <v>341</v>
      </c>
      <c r="B3" s="162">
        <v>5347380</v>
      </c>
      <c r="C3" s="160"/>
      <c r="G3" s="163"/>
    </row>
    <row r="4" spans="1:3" ht="15">
      <c r="A4" s="161" t="s">
        <v>322</v>
      </c>
      <c r="B4" s="162">
        <v>118200</v>
      </c>
      <c r="C4" s="162">
        <v>300000</v>
      </c>
    </row>
    <row r="5" spans="1:3" ht="15">
      <c r="A5" s="161" t="s">
        <v>331</v>
      </c>
      <c r="B5" s="162"/>
      <c r="C5" s="162"/>
    </row>
    <row r="6" spans="1:4" ht="15">
      <c r="A6" s="161" t="s">
        <v>332</v>
      </c>
      <c r="B6" s="162"/>
      <c r="C6" s="162"/>
      <c r="D6" s="159">
        <v>915000</v>
      </c>
    </row>
    <row r="7" spans="1:3" ht="15">
      <c r="A7" s="161" t="s">
        <v>333</v>
      </c>
      <c r="B7" s="162">
        <f>4*35000</f>
        <v>140000</v>
      </c>
      <c r="C7" s="162">
        <v>550000</v>
      </c>
    </row>
    <row r="8" spans="1:7" ht="15">
      <c r="A8" s="161" t="s">
        <v>325</v>
      </c>
      <c r="B8" s="164">
        <f>D8/G2</f>
        <v>7211.155914948051</v>
      </c>
      <c r="C8" s="164">
        <v>0</v>
      </c>
      <c r="D8" s="162">
        <v>2999026</v>
      </c>
      <c r="F8" s="162">
        <v>69600000</v>
      </c>
      <c r="G8" s="162">
        <f>F8/G2</f>
        <v>167353.15121655643</v>
      </c>
    </row>
    <row r="9" spans="1:3" ht="15">
      <c r="A9" s="161" t="s">
        <v>321</v>
      </c>
      <c r="B9" s="162">
        <f>11364*4</f>
        <v>45456</v>
      </c>
      <c r="C9" s="162">
        <f>47000*4</f>
        <v>188000</v>
      </c>
    </row>
    <row r="10" spans="1:3" ht="15">
      <c r="A10" s="161" t="s">
        <v>340</v>
      </c>
      <c r="B10" s="162"/>
      <c r="C10" s="162">
        <v>60000</v>
      </c>
    </row>
    <row r="11" spans="1:3" ht="15">
      <c r="A11" s="161" t="s">
        <v>334</v>
      </c>
      <c r="B11" s="165">
        <v>10000</v>
      </c>
      <c r="C11" s="165">
        <v>0</v>
      </c>
    </row>
    <row r="12" spans="1:3" ht="15">
      <c r="A12" s="161" t="s">
        <v>335</v>
      </c>
      <c r="B12" s="165">
        <v>50000</v>
      </c>
      <c r="C12" s="165">
        <v>0</v>
      </c>
    </row>
    <row r="13" spans="1:3" ht="15.75">
      <c r="A13" s="160" t="s">
        <v>4</v>
      </c>
      <c r="B13" s="166">
        <f>SUM(B3:B12)</f>
        <v>5718247.155914948</v>
      </c>
      <c r="C13" s="166">
        <f>SUM(C3:C12)</f>
        <v>1098000</v>
      </c>
    </row>
    <row r="17" ht="15.75" thickBot="1"/>
    <row r="18" spans="1:5" ht="26.25" thickBot="1">
      <c r="A18" s="236" t="s">
        <v>495</v>
      </c>
      <c r="B18" s="237" t="s">
        <v>496</v>
      </c>
      <c r="C18" s="238" t="s">
        <v>497</v>
      </c>
      <c r="D18" s="238" t="s">
        <v>498</v>
      </c>
      <c r="E18" s="238" t="s">
        <v>499</v>
      </c>
    </row>
    <row r="19" spans="1:5" ht="15.75" thickBot="1">
      <c r="A19" s="230" t="s">
        <v>322</v>
      </c>
      <c r="B19" s="162">
        <v>418200</v>
      </c>
      <c r="C19" s="162">
        <f>'total budget reconciliation'!F177</f>
        <v>118200</v>
      </c>
      <c r="D19" s="162">
        <f>'total budget reconciliation'!P177</f>
        <v>299700</v>
      </c>
      <c r="E19" s="162">
        <f>C19+D19</f>
        <v>417900</v>
      </c>
    </row>
    <row r="20" spans="1:5" ht="15.75" thickBot="1">
      <c r="A20" s="230" t="s">
        <v>331</v>
      </c>
      <c r="B20" s="162"/>
      <c r="C20" s="162">
        <f>'total budget reconciliation'!G177</f>
        <v>88400</v>
      </c>
      <c r="D20" s="162">
        <f>'total budget reconciliation'!Q177</f>
        <v>141152.95</v>
      </c>
      <c r="E20" s="162">
        <f aca="true" t="shared" si="0" ref="E20:E30">C20+D20</f>
        <v>229552.95</v>
      </c>
    </row>
    <row r="21" spans="1:5" ht="15.75" thickBot="1">
      <c r="A21" s="230" t="s">
        <v>332</v>
      </c>
      <c r="B21" s="162">
        <v>915000</v>
      </c>
      <c r="C21" s="162">
        <f>'total budget reconciliation'!H177</f>
        <v>183000</v>
      </c>
      <c r="D21" s="162">
        <f>'total budget reconciliation'!R177</f>
        <v>732000</v>
      </c>
      <c r="E21" s="162">
        <f t="shared" si="0"/>
        <v>915000</v>
      </c>
    </row>
    <row r="22" spans="1:5" ht="15.75" thickBot="1">
      <c r="A22" s="230" t="s">
        <v>333</v>
      </c>
      <c r="B22" s="162">
        <v>3888270</v>
      </c>
      <c r="C22" s="162">
        <f>'total budget reconciliation'!I177</f>
        <v>140000</v>
      </c>
      <c r="D22" s="162">
        <f>'total budget reconciliation'!S177</f>
        <v>550000</v>
      </c>
      <c r="E22" s="162">
        <f t="shared" si="0"/>
        <v>690000</v>
      </c>
    </row>
    <row r="23" spans="1:5" ht="15.75" thickBot="1">
      <c r="A23" s="230" t="s">
        <v>325</v>
      </c>
      <c r="B23" s="162">
        <v>7211</v>
      </c>
      <c r="C23" s="162">
        <f>'total budget reconciliation'!J177</f>
        <v>196870</v>
      </c>
      <c r="D23" s="162">
        <f>'total budget reconciliation'!T177</f>
        <v>60700</v>
      </c>
      <c r="E23" s="162">
        <f t="shared" si="0"/>
        <v>257570</v>
      </c>
    </row>
    <row r="24" spans="1:5" ht="15.75" thickBot="1">
      <c r="A24" s="230" t="s">
        <v>321</v>
      </c>
      <c r="B24" s="162">
        <v>777450</v>
      </c>
      <c r="C24" s="162">
        <f>'total budget reconciliation'!K177</f>
        <v>45456</v>
      </c>
      <c r="D24" s="162">
        <f>'total budget reconciliation'!U177</f>
        <v>774460</v>
      </c>
      <c r="E24" s="162">
        <f t="shared" si="0"/>
        <v>819916</v>
      </c>
    </row>
    <row r="25" spans="1:5" ht="15.75" thickBot="1">
      <c r="A25" s="230" t="s">
        <v>340</v>
      </c>
      <c r="C25" s="162"/>
      <c r="D25" s="162">
        <v>60000</v>
      </c>
      <c r="E25" s="162">
        <f t="shared" si="0"/>
        <v>60000</v>
      </c>
    </row>
    <row r="26" spans="1:5" ht="15.75" thickBot="1">
      <c r="A26" s="230" t="s">
        <v>487</v>
      </c>
      <c r="C26" s="162">
        <v>10000</v>
      </c>
      <c r="D26" s="162"/>
      <c r="E26" s="162">
        <f t="shared" si="0"/>
        <v>10000</v>
      </c>
    </row>
    <row r="27" spans="1:5" ht="15.75" thickBot="1">
      <c r="A27" s="230" t="s">
        <v>488</v>
      </c>
      <c r="C27" s="162">
        <v>50000</v>
      </c>
      <c r="D27" s="162"/>
      <c r="E27" s="162">
        <f t="shared" si="0"/>
        <v>50000</v>
      </c>
    </row>
    <row r="28" spans="1:5" ht="15.75" thickBot="1">
      <c r="A28" s="230" t="s">
        <v>489</v>
      </c>
      <c r="C28" s="162"/>
      <c r="D28" s="162">
        <v>620000</v>
      </c>
      <c r="E28" s="162">
        <f t="shared" si="0"/>
        <v>620000</v>
      </c>
    </row>
    <row r="29" spans="1:5" ht="15.75" thickBot="1">
      <c r="A29" s="232" t="s">
        <v>490</v>
      </c>
      <c r="B29" s="231">
        <v>1929131</v>
      </c>
      <c r="C29" s="162"/>
      <c r="D29" s="162">
        <f>1250000*1.57</f>
        <v>1962500</v>
      </c>
      <c r="E29" s="162">
        <f t="shared" si="0"/>
        <v>1962500</v>
      </c>
    </row>
    <row r="30" spans="1:5" ht="15.75" thickBot="1">
      <c r="A30" s="230" t="s">
        <v>441</v>
      </c>
      <c r="B30" s="231"/>
      <c r="C30" s="162"/>
      <c r="D30" s="162">
        <f>4*75000*1.57</f>
        <v>471000</v>
      </c>
      <c r="E30" s="162">
        <f t="shared" si="0"/>
        <v>471000</v>
      </c>
    </row>
    <row r="31" spans="1:5" ht="15.75" thickBot="1">
      <c r="A31" s="230" t="s">
        <v>491</v>
      </c>
      <c r="B31" s="231" t="s">
        <v>492</v>
      </c>
      <c r="C31" s="162"/>
      <c r="D31" s="162"/>
      <c r="E31" s="162"/>
    </row>
    <row r="32" spans="1:5" ht="15.75" thickBot="1">
      <c r="A32" s="230" t="s">
        <v>439</v>
      </c>
      <c r="B32" s="231"/>
      <c r="C32" s="162"/>
      <c r="D32" s="162"/>
      <c r="E32" s="162"/>
    </row>
    <row r="33" spans="1:5" ht="15.75" thickBot="1">
      <c r="A33" s="230" t="s">
        <v>493</v>
      </c>
      <c r="B33" s="231" t="s">
        <v>492</v>
      </c>
      <c r="C33" s="162"/>
      <c r="D33" s="162"/>
      <c r="E33" s="162"/>
    </row>
    <row r="34" spans="1:6" ht="16.5" thickBot="1">
      <c r="A34" s="233" t="s">
        <v>4</v>
      </c>
      <c r="B34" s="234" t="s">
        <v>494</v>
      </c>
      <c r="C34" s="166">
        <f>SUM(C19:C33)</f>
        <v>831926</v>
      </c>
      <c r="D34" s="166">
        <f>SUM(D19:D33)</f>
        <v>5671512.95</v>
      </c>
      <c r="E34" s="166">
        <f>SUM(E19:E33)</f>
        <v>6503438.95</v>
      </c>
      <c r="F34">
        <v>5844880</v>
      </c>
    </row>
    <row r="35" spans="1:6" ht="15.75">
      <c r="A35"/>
      <c r="B35"/>
      <c r="C35"/>
      <c r="D35"/>
      <c r="F35" s="166">
        <f>E34+F34</f>
        <v>12348318.95</v>
      </c>
    </row>
    <row r="36" spans="1:4" ht="15">
      <c r="A36"/>
      <c r="B36"/>
      <c r="C36"/>
      <c r="D36"/>
    </row>
    <row r="37" spans="1:4" ht="15">
      <c r="A37" s="235"/>
      <c r="B37"/>
      <c r="C37"/>
      <c r="D37"/>
    </row>
  </sheetData>
  <hyperlinks>
    <hyperlink ref="A29" location="_ftn1" display="_ftn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">
      <selection activeCell="A4" sqref="A4"/>
    </sheetView>
  </sheetViews>
  <sheetFormatPr defaultColWidth="8.796875" defaultRowHeight="15"/>
  <cols>
    <col min="1" max="1" width="26.09765625" style="247" customWidth="1"/>
    <col min="2" max="2" width="37.8984375" style="247" customWidth="1"/>
    <col min="3" max="3" width="17.59765625" style="247" customWidth="1"/>
    <col min="4" max="4" width="21.69921875" style="247" customWidth="1"/>
    <col min="5" max="5" width="20.19921875" style="271" customWidth="1"/>
    <col min="6" max="6" width="16.296875" style="272" customWidth="1"/>
    <col min="7" max="16384" width="7.09765625" style="247" customWidth="1"/>
  </cols>
  <sheetData>
    <row r="1" spans="1:6" ht="12.75">
      <c r="A1" s="245"/>
      <c r="B1" s="245"/>
      <c r="C1" s="245"/>
      <c r="D1" s="245"/>
      <c r="E1" s="245"/>
      <c r="F1" s="246"/>
    </row>
    <row r="2" spans="1:6" ht="12.75">
      <c r="A2" s="295" t="s">
        <v>516</v>
      </c>
      <c r="B2" s="295"/>
      <c r="C2" s="295"/>
      <c r="D2" s="295"/>
      <c r="E2" s="295"/>
      <c r="F2" s="296"/>
    </row>
    <row r="3" spans="1:6" ht="12.75">
      <c r="A3" s="248"/>
      <c r="B3" s="248"/>
      <c r="C3" s="248"/>
      <c r="D3" s="248"/>
      <c r="E3" s="248"/>
      <c r="F3" s="245"/>
    </row>
    <row r="4" spans="1:6" ht="12.75">
      <c r="A4" s="248" t="s">
        <v>539</v>
      </c>
      <c r="B4" s="248"/>
      <c r="C4" s="248" t="s">
        <v>517</v>
      </c>
      <c r="D4" s="248"/>
      <c r="E4" s="248"/>
      <c r="F4" s="245"/>
    </row>
    <row r="5" spans="1:6" ht="12.75">
      <c r="A5" s="249" t="s">
        <v>518</v>
      </c>
      <c r="B5" s="249"/>
      <c r="C5" s="249"/>
      <c r="D5" s="249"/>
      <c r="E5" s="249"/>
      <c r="F5" s="245"/>
    </row>
    <row r="6" spans="1:6" ht="12.75">
      <c r="A6" s="248" t="s">
        <v>519</v>
      </c>
      <c r="B6" s="248"/>
      <c r="C6" s="248"/>
      <c r="D6" s="248"/>
      <c r="E6" s="248"/>
      <c r="F6" s="245"/>
    </row>
    <row r="7" spans="1:6" ht="12.75">
      <c r="A7" s="249"/>
      <c r="B7" s="249"/>
      <c r="C7" s="249"/>
      <c r="D7" s="249"/>
      <c r="E7" s="249"/>
      <c r="F7" s="245"/>
    </row>
    <row r="8" spans="1:6" s="252" customFormat="1" ht="12.75">
      <c r="A8" s="250" t="s">
        <v>520</v>
      </c>
      <c r="B8" s="250" t="s">
        <v>521</v>
      </c>
      <c r="C8" s="250" t="s">
        <v>522</v>
      </c>
      <c r="D8" s="251" t="s">
        <v>523</v>
      </c>
      <c r="E8" s="251" t="s">
        <v>524</v>
      </c>
      <c r="F8" s="250" t="s">
        <v>525</v>
      </c>
    </row>
    <row r="9" spans="1:6" ht="12.75">
      <c r="A9" s="253"/>
      <c r="B9" s="253"/>
      <c r="C9" s="253"/>
      <c r="D9" s="254">
        <v>2009</v>
      </c>
      <c r="E9" s="253"/>
      <c r="F9" s="255"/>
    </row>
    <row r="10" spans="1:6" ht="12.75">
      <c r="A10" s="256" t="s">
        <v>540</v>
      </c>
      <c r="B10" s="257" t="s">
        <v>476</v>
      </c>
      <c r="C10" s="257" t="s">
        <v>526</v>
      </c>
      <c r="D10" s="258">
        <f>'detailed GEF budget BIS'!I83</f>
        <v>29331.006666666668</v>
      </c>
      <c r="E10" s="259" t="s">
        <v>529</v>
      </c>
      <c r="F10" s="255">
        <v>53885</v>
      </c>
    </row>
    <row r="11" spans="1:6" ht="12.75">
      <c r="A11" s="259"/>
      <c r="B11" s="259" t="s">
        <v>527</v>
      </c>
      <c r="C11" s="259" t="s">
        <v>526</v>
      </c>
      <c r="D11" s="260">
        <f>'detailed GEF budget BIS'!I89</f>
        <v>21099</v>
      </c>
      <c r="E11" s="259" t="s">
        <v>529</v>
      </c>
      <c r="F11" s="255">
        <v>53885</v>
      </c>
    </row>
    <row r="12" spans="1:6" ht="12.75">
      <c r="A12" s="259"/>
      <c r="B12" s="259" t="s">
        <v>557</v>
      </c>
      <c r="C12" s="259" t="s">
        <v>528</v>
      </c>
      <c r="D12" s="260">
        <f>'detailed GEF budget BIS'!I93</f>
        <v>2300</v>
      </c>
      <c r="E12" s="259" t="s">
        <v>529</v>
      </c>
      <c r="F12" s="255">
        <v>53885</v>
      </c>
    </row>
    <row r="13" spans="1:6" ht="12.75">
      <c r="A13" s="259"/>
      <c r="B13" s="259" t="s">
        <v>558</v>
      </c>
      <c r="C13" s="259" t="s">
        <v>528</v>
      </c>
      <c r="D13" s="260">
        <f>'detailed GEF budget BIS'!I103</f>
        <v>17500</v>
      </c>
      <c r="E13" s="259" t="s">
        <v>529</v>
      </c>
      <c r="F13" s="255">
        <v>53885</v>
      </c>
    </row>
    <row r="14" spans="1:6" ht="12.75">
      <c r="A14" s="259"/>
      <c r="B14" s="259" t="s">
        <v>556</v>
      </c>
      <c r="C14" s="261" t="s">
        <v>528</v>
      </c>
      <c r="D14" s="260">
        <f>'detailed GEF budget BIS'!I114</f>
        <v>7000</v>
      </c>
      <c r="E14" s="261" t="s">
        <v>529</v>
      </c>
      <c r="F14" s="255">
        <v>53885</v>
      </c>
    </row>
    <row r="15" spans="1:6" ht="12.75">
      <c r="A15" s="259"/>
      <c r="B15" s="259"/>
      <c r="C15" s="261"/>
      <c r="D15" s="260"/>
      <c r="E15" s="261"/>
      <c r="F15" s="255"/>
    </row>
    <row r="16" spans="1:6" ht="12.75">
      <c r="A16" s="262" t="s">
        <v>537</v>
      </c>
      <c r="B16" s="259" t="s">
        <v>530</v>
      </c>
      <c r="C16" s="261" t="s">
        <v>528</v>
      </c>
      <c r="D16" s="260">
        <f>'detailed GEF budget BIS'!I40</f>
        <v>35000</v>
      </c>
      <c r="E16" s="261" t="s">
        <v>531</v>
      </c>
      <c r="F16" s="255">
        <v>53885</v>
      </c>
    </row>
    <row r="17" spans="1:6" ht="12.75">
      <c r="A17" s="262"/>
      <c r="B17" s="259"/>
      <c r="C17" s="261"/>
      <c r="D17" s="260"/>
      <c r="E17" s="261"/>
      <c r="F17" s="255"/>
    </row>
    <row r="18" spans="1:6" ht="12.75">
      <c r="A18" s="262" t="s">
        <v>538</v>
      </c>
      <c r="B18" s="259" t="s">
        <v>541</v>
      </c>
      <c r="C18" s="273" t="s">
        <v>543</v>
      </c>
      <c r="D18" s="260">
        <f>'detailed GEF budget BIS'!I68</f>
        <v>93000</v>
      </c>
      <c r="E18" s="261" t="s">
        <v>531</v>
      </c>
      <c r="F18" s="255">
        <v>53885</v>
      </c>
    </row>
    <row r="19" spans="1:6" ht="12.75">
      <c r="A19" s="262"/>
      <c r="B19" s="259" t="s">
        <v>542</v>
      </c>
      <c r="C19" s="273" t="s">
        <v>544</v>
      </c>
      <c r="D19" s="260">
        <f>'detailed GEF budget BIS'!I75</f>
        <v>123000</v>
      </c>
      <c r="E19" s="261" t="s">
        <v>531</v>
      </c>
      <c r="F19" s="255">
        <v>53885</v>
      </c>
    </row>
    <row r="20" spans="1:6" ht="12.75">
      <c r="A20" s="262"/>
      <c r="B20" s="259"/>
      <c r="C20" s="261"/>
      <c r="D20" s="260"/>
      <c r="E20" s="261"/>
      <c r="F20" s="255"/>
    </row>
    <row r="21" spans="1:6" ht="12.75">
      <c r="A21" s="262"/>
      <c r="B21" s="259"/>
      <c r="C21" s="261"/>
      <c r="D21" s="260"/>
      <c r="E21" s="261"/>
      <c r="F21" s="255"/>
    </row>
    <row r="22" spans="1:6" ht="12.75">
      <c r="A22" s="262"/>
      <c r="B22" s="259"/>
      <c r="C22" s="261"/>
      <c r="D22" s="260"/>
      <c r="E22" s="261"/>
      <c r="F22" s="255"/>
    </row>
    <row r="23" spans="1:6" s="245" customFormat="1" ht="12.75">
      <c r="A23" s="259"/>
      <c r="B23" s="259"/>
      <c r="C23" s="261"/>
      <c r="D23" s="263">
        <f>SUM(D10:D19)</f>
        <v>328230.00666666665</v>
      </c>
      <c r="E23" s="261"/>
      <c r="F23" s="255"/>
    </row>
    <row r="24" spans="1:5" s="245" customFormat="1" ht="12.75">
      <c r="A24" s="264"/>
      <c r="B24" s="264"/>
      <c r="C24" s="264"/>
      <c r="D24" s="264"/>
      <c r="E24" s="264"/>
    </row>
    <row r="25" spans="1:6" ht="12.75">
      <c r="A25" s="264"/>
      <c r="B25" s="264"/>
      <c r="C25" s="264"/>
      <c r="D25" s="264"/>
      <c r="E25" s="264"/>
      <c r="F25" s="245"/>
    </row>
    <row r="26" spans="1:6" ht="12.75">
      <c r="A26" s="265" t="s">
        <v>532</v>
      </c>
      <c r="B26" s="264"/>
      <c r="C26" s="264"/>
      <c r="D26" s="264"/>
      <c r="E26" s="264"/>
      <c r="F26" s="245"/>
    </row>
    <row r="27" spans="1:6" s="267" customFormat="1" ht="12.75">
      <c r="A27" s="265" t="s">
        <v>533</v>
      </c>
      <c r="B27" s="265"/>
      <c r="C27" s="265"/>
      <c r="D27" s="265"/>
      <c r="E27" s="265"/>
      <c r="F27" s="266"/>
    </row>
    <row r="28" spans="1:6" s="269" customFormat="1" ht="12.75">
      <c r="A28" s="265" t="s">
        <v>534</v>
      </c>
      <c r="B28" s="265"/>
      <c r="C28" s="265"/>
      <c r="D28" s="265"/>
      <c r="E28" s="265"/>
      <c r="F28" s="268"/>
    </row>
    <row r="29" spans="1:6" s="269" customFormat="1" ht="12.75">
      <c r="A29" s="265" t="s">
        <v>535</v>
      </c>
      <c r="B29" s="265"/>
      <c r="C29" s="265"/>
      <c r="D29" s="265"/>
      <c r="E29" s="265"/>
      <c r="F29" s="268"/>
    </row>
    <row r="30" spans="1:6" s="269" customFormat="1" ht="12.75">
      <c r="A30" s="265" t="s">
        <v>536</v>
      </c>
      <c r="B30" s="270"/>
      <c r="C30" s="270"/>
      <c r="D30" s="270"/>
      <c r="E30" s="270"/>
      <c r="F30" s="268"/>
    </row>
    <row r="31" spans="1:6" ht="12.75">
      <c r="A31" s="264"/>
      <c r="B31" s="264"/>
      <c r="C31" s="264"/>
      <c r="D31" s="264"/>
      <c r="E31" s="264"/>
      <c r="F31" s="245"/>
    </row>
    <row r="32" spans="1:6" ht="12.75">
      <c r="A32" s="264"/>
      <c r="B32" s="264"/>
      <c r="C32" s="264"/>
      <c r="D32" s="264"/>
      <c r="E32" s="264"/>
      <c r="F32" s="245"/>
    </row>
    <row r="33" spans="1:6" ht="12.75">
      <c r="A33" s="264"/>
      <c r="B33" s="264"/>
      <c r="C33" s="264"/>
      <c r="D33" s="264"/>
      <c r="E33" s="264"/>
      <c r="F33" s="245"/>
    </row>
    <row r="34" spans="1:6" ht="12.75">
      <c r="A34" s="264"/>
      <c r="B34" s="264"/>
      <c r="C34" s="264"/>
      <c r="D34" s="264"/>
      <c r="E34" s="264"/>
      <c r="F34" s="245"/>
    </row>
    <row r="35" spans="1:6" ht="12.75">
      <c r="A35" s="264"/>
      <c r="B35" s="264"/>
      <c r="C35" s="264"/>
      <c r="D35" s="264"/>
      <c r="E35" s="264"/>
      <c r="F35" s="245"/>
    </row>
    <row r="36" spans="1:6" ht="12.75">
      <c r="A36" s="265"/>
      <c r="B36" s="265"/>
      <c r="C36" s="265"/>
      <c r="D36" s="265"/>
      <c r="E36" s="265"/>
      <c r="F36" s="245"/>
    </row>
    <row r="37" spans="1:6" ht="12.75">
      <c r="A37" s="270"/>
      <c r="B37" s="270"/>
      <c r="C37" s="270"/>
      <c r="D37" s="270"/>
      <c r="E37" s="270"/>
      <c r="F37" s="245"/>
    </row>
    <row r="38" spans="1:6" ht="12.75">
      <c r="A38" s="264"/>
      <c r="B38" s="264"/>
      <c r="C38" s="264"/>
      <c r="D38" s="264"/>
      <c r="E38" s="264"/>
      <c r="F38" s="245"/>
    </row>
    <row r="39" spans="1:6" ht="12.75">
      <c r="A39" s="265"/>
      <c r="B39" s="265"/>
      <c r="C39" s="265"/>
      <c r="D39" s="265"/>
      <c r="E39" s="265"/>
      <c r="F39" s="245"/>
    </row>
    <row r="40" spans="1:6" ht="12.75">
      <c r="A40" s="264"/>
      <c r="B40" s="264"/>
      <c r="C40" s="264"/>
      <c r="D40" s="264"/>
      <c r="E40" s="264"/>
      <c r="F40" s="245"/>
    </row>
    <row r="41" spans="1:6" ht="12.75">
      <c r="A41" s="264"/>
      <c r="B41" s="264"/>
      <c r="C41" s="264"/>
      <c r="D41" s="264"/>
      <c r="E41" s="264"/>
      <c r="F41" s="245"/>
    </row>
    <row r="42" spans="1:6" ht="12.75">
      <c r="A42" s="264"/>
      <c r="B42" s="264"/>
      <c r="C42" s="264"/>
      <c r="D42" s="264"/>
      <c r="E42" s="264"/>
      <c r="F42" s="245"/>
    </row>
    <row r="43" spans="1:6" ht="12.75">
      <c r="A43" s="264"/>
      <c r="B43" s="264"/>
      <c r="C43" s="264"/>
      <c r="D43" s="264"/>
      <c r="E43" s="264"/>
      <c r="F43" s="245"/>
    </row>
    <row r="44" spans="1:6" ht="12.75">
      <c r="A44" s="265"/>
      <c r="B44" s="265"/>
      <c r="C44" s="265"/>
      <c r="D44" s="265"/>
      <c r="E44" s="265"/>
      <c r="F44" s="245"/>
    </row>
    <row r="45" spans="1:6" ht="12.75">
      <c r="A45" s="264"/>
      <c r="B45" s="264"/>
      <c r="C45" s="264"/>
      <c r="D45" s="264"/>
      <c r="E45" s="264"/>
      <c r="F45" s="245"/>
    </row>
    <row r="46" spans="1:6" ht="12.75">
      <c r="A46" s="264"/>
      <c r="B46" s="264"/>
      <c r="C46" s="264"/>
      <c r="D46" s="264"/>
      <c r="E46" s="264"/>
      <c r="F46" s="245"/>
    </row>
    <row r="47" spans="1:6" ht="12.75">
      <c r="A47" s="264"/>
      <c r="B47" s="264"/>
      <c r="C47" s="264"/>
      <c r="D47" s="264"/>
      <c r="E47" s="264"/>
      <c r="F47" s="245"/>
    </row>
    <row r="48" spans="1:6" ht="12.75">
      <c r="A48" s="265"/>
      <c r="B48" s="265"/>
      <c r="C48" s="265"/>
      <c r="D48" s="265"/>
      <c r="E48" s="265"/>
      <c r="F48" s="245"/>
    </row>
    <row r="49" spans="1:6" ht="12.75">
      <c r="A49" s="264"/>
      <c r="B49" s="264"/>
      <c r="C49" s="264"/>
      <c r="D49" s="264"/>
      <c r="E49" s="264"/>
      <c r="F49" s="245"/>
    </row>
    <row r="50" spans="1:6" ht="12.75">
      <c r="A50" s="264"/>
      <c r="B50" s="264"/>
      <c r="C50" s="264"/>
      <c r="D50" s="264"/>
      <c r="E50" s="264"/>
      <c r="F50" s="245"/>
    </row>
    <row r="51" spans="1:6" ht="12.75">
      <c r="A51" s="264"/>
      <c r="B51" s="264"/>
      <c r="C51" s="264"/>
      <c r="D51" s="264"/>
      <c r="E51" s="264"/>
      <c r="F51" s="245"/>
    </row>
    <row r="52" spans="1:6" ht="12.75">
      <c r="A52" s="264"/>
      <c r="B52" s="264"/>
      <c r="C52" s="264"/>
      <c r="D52" s="264"/>
      <c r="E52" s="264"/>
      <c r="F52" s="245"/>
    </row>
    <row r="53" spans="1:6" ht="12.75">
      <c r="A53" s="264"/>
      <c r="B53" s="264"/>
      <c r="C53" s="264"/>
      <c r="D53" s="264"/>
      <c r="E53" s="264"/>
      <c r="F53" s="245"/>
    </row>
    <row r="54" spans="1:6" ht="12.75">
      <c r="A54" s="265"/>
      <c r="B54" s="265"/>
      <c r="C54" s="265"/>
      <c r="D54" s="265"/>
      <c r="E54" s="265"/>
      <c r="F54" s="245"/>
    </row>
    <row r="55" spans="1:6" ht="12.75">
      <c r="A55" s="264"/>
      <c r="B55" s="264"/>
      <c r="C55" s="264"/>
      <c r="D55" s="264"/>
      <c r="E55" s="264"/>
      <c r="F55" s="245"/>
    </row>
    <row r="56" spans="1:6" ht="12.75">
      <c r="A56" s="264"/>
      <c r="B56" s="264"/>
      <c r="C56" s="264"/>
      <c r="D56" s="264"/>
      <c r="E56" s="264"/>
      <c r="F56" s="245"/>
    </row>
    <row r="57" spans="1:6" ht="12.75">
      <c r="A57" s="264"/>
      <c r="B57" s="264"/>
      <c r="C57" s="264"/>
      <c r="D57" s="264"/>
      <c r="E57" s="264"/>
      <c r="F57" s="245"/>
    </row>
    <row r="58" spans="1:6" ht="12.75">
      <c r="A58" s="265"/>
      <c r="B58" s="265"/>
      <c r="C58" s="265"/>
      <c r="D58" s="265"/>
      <c r="E58" s="265"/>
      <c r="F58" s="245"/>
    </row>
    <row r="59" spans="1:6" ht="12.75">
      <c r="A59" s="264"/>
      <c r="B59" s="264"/>
      <c r="C59" s="264"/>
      <c r="D59" s="264"/>
      <c r="E59" s="264"/>
      <c r="F59" s="245"/>
    </row>
    <row r="60" spans="1:6" ht="12.75">
      <c r="A60" s="264"/>
      <c r="B60" s="264"/>
      <c r="C60" s="264"/>
      <c r="D60" s="264"/>
      <c r="E60" s="264"/>
      <c r="F60" s="245"/>
    </row>
    <row r="61" spans="1:6" ht="12.75">
      <c r="A61" s="265"/>
      <c r="B61" s="265"/>
      <c r="C61" s="265"/>
      <c r="D61" s="265"/>
      <c r="E61" s="265"/>
      <c r="F61" s="245"/>
    </row>
    <row r="62" spans="1:6" ht="12.75">
      <c r="A62" s="264"/>
      <c r="B62" s="264"/>
      <c r="C62" s="264"/>
      <c r="D62" s="264"/>
      <c r="E62" s="264"/>
      <c r="F62" s="245"/>
    </row>
    <row r="63" spans="1:6" ht="12.75">
      <c r="A63" s="264"/>
      <c r="B63" s="264"/>
      <c r="C63" s="264"/>
      <c r="D63" s="264"/>
      <c r="E63" s="264"/>
      <c r="F63" s="245"/>
    </row>
    <row r="64" spans="1:6" ht="12.75">
      <c r="A64" s="265"/>
      <c r="B64" s="265"/>
      <c r="C64" s="265"/>
      <c r="D64" s="265"/>
      <c r="E64" s="265"/>
      <c r="F64" s="245"/>
    </row>
    <row r="65" spans="1:6" ht="12.75">
      <c r="A65" s="264"/>
      <c r="B65" s="264"/>
      <c r="C65" s="264"/>
      <c r="D65" s="264"/>
      <c r="E65" s="264"/>
      <c r="F65" s="245"/>
    </row>
    <row r="66" spans="1:6" ht="12.75">
      <c r="A66" s="264"/>
      <c r="B66" s="264"/>
      <c r="C66" s="264"/>
      <c r="D66" s="264"/>
      <c r="E66" s="264"/>
      <c r="F66" s="245"/>
    </row>
    <row r="67" spans="1:6" ht="12.75">
      <c r="A67" s="264"/>
      <c r="B67" s="264"/>
      <c r="C67" s="264"/>
      <c r="D67" s="264"/>
      <c r="E67" s="264"/>
      <c r="F67" s="245"/>
    </row>
    <row r="68" spans="1:6" ht="12.75">
      <c r="A68" s="265"/>
      <c r="B68" s="265"/>
      <c r="C68" s="265"/>
      <c r="D68" s="265"/>
      <c r="E68" s="265"/>
      <c r="F68" s="245"/>
    </row>
    <row r="69" spans="1:6" ht="12.75">
      <c r="A69" s="264"/>
      <c r="B69" s="264"/>
      <c r="C69" s="264"/>
      <c r="D69" s="264"/>
      <c r="E69" s="264"/>
      <c r="F69" s="245"/>
    </row>
    <row r="70" spans="1:6" ht="12.75">
      <c r="A70" s="264"/>
      <c r="B70" s="264"/>
      <c r="C70" s="264"/>
      <c r="D70" s="264"/>
      <c r="E70" s="264"/>
      <c r="F70" s="245"/>
    </row>
    <row r="71" spans="1:6" ht="12.75">
      <c r="A71" s="264"/>
      <c r="B71" s="264"/>
      <c r="C71" s="264"/>
      <c r="D71" s="264"/>
      <c r="E71" s="264"/>
      <c r="F71" s="245"/>
    </row>
    <row r="72" spans="1:6" ht="12.75">
      <c r="A72" s="265"/>
      <c r="B72" s="265"/>
      <c r="C72" s="265"/>
      <c r="D72" s="265"/>
      <c r="E72" s="265"/>
      <c r="F72" s="245"/>
    </row>
    <row r="73" spans="1:6" ht="12.75">
      <c r="A73" s="270"/>
      <c r="B73" s="270"/>
      <c r="C73" s="270"/>
      <c r="D73" s="270"/>
      <c r="E73" s="270"/>
      <c r="F73" s="245"/>
    </row>
    <row r="74" spans="1:6" ht="12.75">
      <c r="A74" s="270"/>
      <c r="B74" s="270"/>
      <c r="C74" s="270"/>
      <c r="D74" s="270"/>
      <c r="E74" s="270"/>
      <c r="F74" s="245"/>
    </row>
    <row r="75" spans="1:6" ht="12.75">
      <c r="A75" s="265"/>
      <c r="B75" s="265"/>
      <c r="C75" s="265"/>
      <c r="D75" s="265"/>
      <c r="E75" s="265"/>
      <c r="F75" s="245"/>
    </row>
    <row r="76" spans="1:6" ht="12.75">
      <c r="A76" s="264"/>
      <c r="B76" s="264"/>
      <c r="C76" s="264"/>
      <c r="D76" s="264"/>
      <c r="E76" s="264"/>
      <c r="F76" s="245"/>
    </row>
    <row r="77" spans="1:6" ht="12.75">
      <c r="A77" s="264"/>
      <c r="B77" s="264"/>
      <c r="C77" s="264"/>
      <c r="D77" s="264"/>
      <c r="E77" s="264"/>
      <c r="F77" s="245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Header xml:space="preserve">&amp;L                  &amp;C                                      UNOPS Procurement Plan            
&amp;RUpdated 11 December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4"/>
  <sheetViews>
    <sheetView showGridLines="0" zoomScale="140" zoomScaleNormal="140" workbookViewId="0" topLeftCell="A70">
      <selection activeCell="E123" sqref="E123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15" customWidth="1"/>
    <col min="4" max="13" width="7.796875" style="0" customWidth="1"/>
    <col min="14" max="16384" width="11.59765625" style="0" customWidth="1"/>
  </cols>
  <sheetData>
    <row r="1" spans="1:13" s="3" customFormat="1" ht="15" customHeight="1">
      <c r="A1" s="287" t="s">
        <v>145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3" spans="1:13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5">
      <c r="A4" s="43" t="s">
        <v>131</v>
      </c>
      <c r="B4" s="9"/>
      <c r="C4" s="96"/>
      <c r="D4" s="2" t="s">
        <v>223</v>
      </c>
      <c r="E4"/>
      <c r="F4" s="2"/>
      <c r="G4" s="2"/>
      <c r="H4" s="2"/>
      <c r="I4" s="2"/>
      <c r="J4" s="2"/>
      <c r="K4" s="2"/>
      <c r="L4" s="2"/>
      <c r="M4" s="2"/>
    </row>
    <row r="5" spans="1:13" s="3" customFormat="1" ht="15">
      <c r="A5" s="43" t="s">
        <v>137</v>
      </c>
      <c r="B5" s="9"/>
      <c r="C5" s="96"/>
      <c r="D5" s="2" t="s">
        <v>224</v>
      </c>
      <c r="E5"/>
      <c r="F5" s="2"/>
      <c r="G5" s="2"/>
      <c r="H5" s="2"/>
      <c r="I5" s="2"/>
      <c r="J5" s="2"/>
      <c r="K5" s="2"/>
      <c r="L5" s="2"/>
      <c r="M5" s="2"/>
    </row>
    <row r="6" spans="1:13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  <c r="M6" s="2"/>
    </row>
    <row r="7" spans="1:13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  <c r="M7" s="2"/>
    </row>
    <row r="8" spans="1:13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  <c r="M8" s="2"/>
    </row>
    <row r="9" spans="1:13" s="3" customFormat="1" ht="12.75" customHeight="1">
      <c r="A9" s="6"/>
      <c r="B9" s="9"/>
      <c r="C9" s="97"/>
      <c r="D9" s="291" t="s">
        <v>149</v>
      </c>
      <c r="E9" s="292"/>
      <c r="F9" s="292"/>
      <c r="G9" s="293"/>
      <c r="H9" s="291" t="s">
        <v>150</v>
      </c>
      <c r="I9" s="292"/>
      <c r="J9" s="292"/>
      <c r="K9" s="292"/>
      <c r="L9" s="292"/>
      <c r="M9" s="293"/>
    </row>
    <row r="10" spans="1:13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213</v>
      </c>
      <c r="L10" s="44" t="s">
        <v>618</v>
      </c>
      <c r="M10" s="33" t="s">
        <v>4</v>
      </c>
    </row>
    <row r="11" spans="1:13" s="14" customFormat="1" ht="12.75" customHeight="1" thickBot="1">
      <c r="A11" s="288" t="s">
        <v>133</v>
      </c>
      <c r="B11" s="289"/>
      <c r="C11" s="290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0" t="s">
        <v>5</v>
      </c>
    </row>
    <row r="12" spans="1:13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1"/>
      <c r="M12" s="52"/>
    </row>
    <row r="13" spans="1:13" s="3" customFormat="1" ht="12.75" customHeight="1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7"/>
      <c r="M13" s="78"/>
    </row>
    <row r="14" spans="1:13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6"/>
      <c r="M14" s="57"/>
    </row>
    <row r="15" spans="1:14" s="3" customFormat="1" ht="12.75">
      <c r="A15" s="25"/>
      <c r="B15" s="26" t="s">
        <v>8</v>
      </c>
      <c r="C15" s="101" t="s">
        <v>151</v>
      </c>
      <c r="D15" s="16">
        <f>M15/3</f>
        <v>281060.38957461336</v>
      </c>
      <c r="E15" s="16">
        <f>D15</f>
        <v>281060.38957461336</v>
      </c>
      <c r="F15" s="16">
        <f>E15</f>
        <v>281060.38957461336</v>
      </c>
      <c r="G15" s="23">
        <f>SUM(D15:F15)</f>
        <v>843181.16872384</v>
      </c>
      <c r="H15" s="46">
        <v>163638</v>
      </c>
      <c r="I15" s="46">
        <v>167591.83</v>
      </c>
      <c r="J15" s="46">
        <f>I15*104%</f>
        <v>174295.5032</v>
      </c>
      <c r="K15" s="46">
        <f>J15*104%</f>
        <v>181267.323328</v>
      </c>
      <c r="L15" s="46">
        <f>(K15*104%)/12*9+15000</f>
        <v>156388.51219584</v>
      </c>
      <c r="M15" s="23">
        <f>SUM(H15:L15)</f>
        <v>843181.16872384</v>
      </c>
      <c r="N15" s="3">
        <f aca="true" t="shared" si="0" ref="N15:N44">G15-M15</f>
        <v>0</v>
      </c>
    </row>
    <row r="16" spans="1:14" s="3" customFormat="1" ht="12.75">
      <c r="A16" s="25"/>
      <c r="B16" s="26" t="s">
        <v>9</v>
      </c>
      <c r="C16" s="101" t="s">
        <v>152</v>
      </c>
      <c r="D16" s="16">
        <f>M16/3</f>
        <v>201679.42866666664</v>
      </c>
      <c r="E16" s="16">
        <f>D16</f>
        <v>201679.42866666664</v>
      </c>
      <c r="F16" s="16">
        <f>E16</f>
        <v>201679.42866666664</v>
      </c>
      <c r="G16" s="23">
        <f>SUM(D16:F16)</f>
        <v>605038.286</v>
      </c>
      <c r="H16" s="46">
        <v>115801</v>
      </c>
      <c r="I16" s="46">
        <v>118618.92</v>
      </c>
      <c r="J16" s="46">
        <v>124023.99</v>
      </c>
      <c r="K16" s="46">
        <f>125105*104%</f>
        <v>130109.20000000001</v>
      </c>
      <c r="L16" s="46">
        <f>(K16*104%)/12*9+15000</f>
        <v>116485.17600000002</v>
      </c>
      <c r="M16" s="23">
        <f>SUM(H16:L16)</f>
        <v>605038.286</v>
      </c>
      <c r="N16" s="3">
        <f t="shared" si="0"/>
        <v>0</v>
      </c>
    </row>
    <row r="17" spans="1:14" s="3" customFormat="1" ht="12.75">
      <c r="A17" s="25"/>
      <c r="B17" s="39" t="s">
        <v>10</v>
      </c>
      <c r="C17" s="102" t="s">
        <v>138</v>
      </c>
      <c r="D17" s="17">
        <f aca="true" t="shared" si="1" ref="D17:L17">SUM(D15:D16)</f>
        <v>482739.81824128004</v>
      </c>
      <c r="E17" s="17">
        <f t="shared" si="1"/>
        <v>482739.81824128004</v>
      </c>
      <c r="F17" s="17">
        <f t="shared" si="1"/>
        <v>482739.81824128004</v>
      </c>
      <c r="G17" s="17">
        <f t="shared" si="1"/>
        <v>1448219.45472384</v>
      </c>
      <c r="H17" s="17">
        <f t="shared" si="1"/>
        <v>279439</v>
      </c>
      <c r="I17" s="17">
        <f t="shared" si="1"/>
        <v>286210.75</v>
      </c>
      <c r="J17" s="17">
        <f t="shared" si="1"/>
        <v>298319.4932</v>
      </c>
      <c r="K17" s="17">
        <f t="shared" si="1"/>
        <v>311376.523328</v>
      </c>
      <c r="L17" s="17">
        <f t="shared" si="1"/>
        <v>272873.68819584005</v>
      </c>
      <c r="M17" s="17">
        <f>SUM(M15:M16)</f>
        <v>1448219.45472384</v>
      </c>
      <c r="N17" s="3">
        <f t="shared" si="0"/>
        <v>0</v>
      </c>
    </row>
    <row r="18" spans="1:14" s="3" customFormat="1" ht="12.75">
      <c r="A18" s="59"/>
      <c r="B18" s="60" t="s">
        <v>11</v>
      </c>
      <c r="C18" s="103" t="s">
        <v>108</v>
      </c>
      <c r="D18" s="61"/>
      <c r="E18" s="61"/>
      <c r="F18" s="61"/>
      <c r="G18" s="62"/>
      <c r="H18" s="63"/>
      <c r="I18" s="61"/>
      <c r="J18" s="61"/>
      <c r="K18" s="61"/>
      <c r="L18" s="61"/>
      <c r="M18" s="64"/>
      <c r="N18" s="3">
        <f t="shared" si="0"/>
        <v>0</v>
      </c>
    </row>
    <row r="19" spans="1:14" s="3" customFormat="1" ht="12.75">
      <c r="A19" s="54"/>
      <c r="B19" s="55"/>
      <c r="C19" s="100" t="s">
        <v>114</v>
      </c>
      <c r="D19" s="56"/>
      <c r="E19" s="56"/>
      <c r="F19" s="56"/>
      <c r="G19" s="57"/>
      <c r="H19" s="58"/>
      <c r="I19" s="56"/>
      <c r="J19" s="56"/>
      <c r="K19" s="56"/>
      <c r="L19" s="56"/>
      <c r="M19" s="65"/>
      <c r="N19" s="3">
        <f t="shared" si="0"/>
        <v>0</v>
      </c>
    </row>
    <row r="20" spans="1:14" s="179" customFormat="1" ht="25.5">
      <c r="A20" s="25"/>
      <c r="B20" s="26" t="s">
        <v>12</v>
      </c>
      <c r="C20" s="101" t="s">
        <v>218</v>
      </c>
      <c r="D20" s="16">
        <f>M20/3</f>
        <v>25761.460000000003</v>
      </c>
      <c r="E20" s="16">
        <f>D20</f>
        <v>25761.460000000003</v>
      </c>
      <c r="F20" s="16">
        <f>E20</f>
        <v>25761.460000000003</v>
      </c>
      <c r="G20" s="178">
        <f>SUM(D20:F20)</f>
        <v>77284.38</v>
      </c>
      <c r="H20" s="46">
        <f>60000+17284.38</f>
        <v>77284.38</v>
      </c>
      <c r="I20" s="46"/>
      <c r="J20" s="46"/>
      <c r="K20" s="46"/>
      <c r="L20" s="46"/>
      <c r="M20" s="178">
        <f>SUM(H20:L20)</f>
        <v>77284.38</v>
      </c>
      <c r="N20" s="179">
        <f t="shared" si="0"/>
        <v>0</v>
      </c>
    </row>
    <row r="21" spans="1:14" s="179" customFormat="1" ht="63.75">
      <c r="A21" s="25"/>
      <c r="B21" s="26" t="s">
        <v>13</v>
      </c>
      <c r="C21" s="101" t="s">
        <v>0</v>
      </c>
      <c r="D21" s="16">
        <v>29942.3</v>
      </c>
      <c r="E21" s="16"/>
      <c r="F21" s="16"/>
      <c r="G21" s="178">
        <f>SUM(D21:F21)</f>
        <v>29942.3</v>
      </c>
      <c r="H21" s="46">
        <f>G21</f>
        <v>29942.3</v>
      </c>
      <c r="I21" s="46"/>
      <c r="J21" s="46"/>
      <c r="K21" s="46"/>
      <c r="L21" s="46"/>
      <c r="M21" s="178">
        <f>SUM(H21:L21)</f>
        <v>29942.3</v>
      </c>
      <c r="N21" s="179">
        <f t="shared" si="0"/>
        <v>0</v>
      </c>
    </row>
    <row r="22" spans="1:14" s="179" customFormat="1" ht="63.75">
      <c r="A22" s="25"/>
      <c r="B22" s="26" t="s">
        <v>14</v>
      </c>
      <c r="C22" s="101" t="s">
        <v>515</v>
      </c>
      <c r="D22" s="173">
        <f>25*200*6+20*400</f>
        <v>38000</v>
      </c>
      <c r="E22" s="16"/>
      <c r="F22" s="16"/>
      <c r="G22" s="178">
        <f>SUM(D22:F22)</f>
        <v>38000</v>
      </c>
      <c r="H22" s="46">
        <f>G22</f>
        <v>38000</v>
      </c>
      <c r="I22" s="46"/>
      <c r="J22" s="46"/>
      <c r="K22" s="46"/>
      <c r="L22" s="46"/>
      <c r="M22" s="178">
        <f aca="true" t="shared" si="2" ref="M22:M42">SUM(H22:L22)</f>
        <v>38000</v>
      </c>
      <c r="N22" s="179">
        <f t="shared" si="0"/>
        <v>0</v>
      </c>
    </row>
    <row r="23" spans="1:14" s="179" customFormat="1" ht="76.5">
      <c r="A23" s="25"/>
      <c r="B23" s="26" t="s">
        <v>153</v>
      </c>
      <c r="C23" s="101" t="s">
        <v>513</v>
      </c>
      <c r="D23" s="16">
        <v>35019.56</v>
      </c>
      <c r="E23" s="16"/>
      <c r="F23" s="16"/>
      <c r="G23" s="178">
        <f>SUM(D23:F23)</f>
        <v>35019.56</v>
      </c>
      <c r="H23" s="46">
        <f>G23</f>
        <v>35019.56</v>
      </c>
      <c r="I23" s="46"/>
      <c r="J23" s="46"/>
      <c r="K23" s="46"/>
      <c r="L23" s="46"/>
      <c r="M23" s="178">
        <f t="shared" si="2"/>
        <v>35019.56</v>
      </c>
      <c r="N23" s="179">
        <f t="shared" si="0"/>
        <v>0</v>
      </c>
    </row>
    <row r="24" spans="1:14" s="3" customFormat="1" ht="63.75">
      <c r="A24" s="25"/>
      <c r="B24" s="26" t="s">
        <v>154</v>
      </c>
      <c r="C24" s="101" t="s">
        <v>597</v>
      </c>
      <c r="D24" s="173">
        <v>36000</v>
      </c>
      <c r="E24" s="16"/>
      <c r="F24" s="16"/>
      <c r="G24" s="23">
        <f aca="true" t="shared" si="3" ref="G24:G42">SUM(D24:F24)</f>
        <v>36000</v>
      </c>
      <c r="H24" s="46"/>
      <c r="I24" s="46"/>
      <c r="J24" s="16">
        <f>2*G24/4</f>
        <v>18000</v>
      </c>
      <c r="K24" s="16">
        <f>G24/4</f>
        <v>9000</v>
      </c>
      <c r="L24" s="16">
        <f>K24</f>
        <v>9000</v>
      </c>
      <c r="M24" s="23">
        <f>SUM(H24:L24)</f>
        <v>36000</v>
      </c>
      <c r="N24" s="3">
        <f t="shared" si="0"/>
        <v>0</v>
      </c>
    </row>
    <row r="25" spans="1:14" s="3" customFormat="1" ht="63.75">
      <c r="A25" s="25"/>
      <c r="B25" s="26" t="s">
        <v>155</v>
      </c>
      <c r="C25" s="101" t="s">
        <v>575</v>
      </c>
      <c r="D25" s="16">
        <v>8000</v>
      </c>
      <c r="E25" s="16"/>
      <c r="F25" s="16"/>
      <c r="G25" s="23">
        <f>SUM(D25:F25)</f>
        <v>8000</v>
      </c>
      <c r="H25" s="46"/>
      <c r="I25" s="46"/>
      <c r="J25" s="16">
        <f>G25</f>
        <v>8000</v>
      </c>
      <c r="K25" s="16"/>
      <c r="L25" s="16"/>
      <c r="M25" s="23">
        <f t="shared" si="2"/>
        <v>8000</v>
      </c>
      <c r="N25" s="3">
        <f t="shared" si="0"/>
        <v>0</v>
      </c>
    </row>
    <row r="26" spans="1:14" s="3" customFormat="1" ht="38.25">
      <c r="A26" s="25"/>
      <c r="B26" s="26" t="s">
        <v>156</v>
      </c>
      <c r="C26" s="101" t="s">
        <v>640</v>
      </c>
      <c r="D26" s="16"/>
      <c r="E26" s="16">
        <f>200*30*6</f>
        <v>36000</v>
      </c>
      <c r="F26" s="16"/>
      <c r="G26" s="23">
        <f t="shared" si="3"/>
        <v>36000</v>
      </c>
      <c r="H26" s="16"/>
      <c r="I26" s="16"/>
      <c r="J26" s="16">
        <f>G26</f>
        <v>36000</v>
      </c>
      <c r="K26" s="16"/>
      <c r="L26" s="16"/>
      <c r="M26" s="23">
        <f t="shared" si="2"/>
        <v>36000</v>
      </c>
      <c r="N26" s="3">
        <f t="shared" si="0"/>
        <v>0</v>
      </c>
    </row>
    <row r="27" spans="1:14" s="3" customFormat="1" ht="63.75">
      <c r="A27" s="25"/>
      <c r="B27" s="26" t="s">
        <v>157</v>
      </c>
      <c r="C27" s="101" t="s">
        <v>641</v>
      </c>
      <c r="D27" s="16"/>
      <c r="E27" s="16">
        <f>2*6*2000</f>
        <v>24000</v>
      </c>
      <c r="F27" s="16"/>
      <c r="G27" s="23">
        <f t="shared" si="3"/>
        <v>24000</v>
      </c>
      <c r="H27" s="16"/>
      <c r="I27" s="16"/>
      <c r="J27" s="16">
        <f>G27</f>
        <v>24000</v>
      </c>
      <c r="K27" s="16"/>
      <c r="L27" s="16"/>
      <c r="M27" s="23">
        <f t="shared" si="2"/>
        <v>24000</v>
      </c>
      <c r="N27" s="3">
        <f t="shared" si="0"/>
        <v>0</v>
      </c>
    </row>
    <row r="28" spans="1:14" s="179" customFormat="1" ht="51">
      <c r="A28" s="25"/>
      <c r="B28" s="26" t="s">
        <v>158</v>
      </c>
      <c r="C28" s="101" t="s">
        <v>583</v>
      </c>
      <c r="D28" s="16"/>
      <c r="E28" s="16">
        <f>500*20</f>
        <v>10000</v>
      </c>
      <c r="F28" s="16"/>
      <c r="G28" s="178">
        <f t="shared" si="3"/>
        <v>10000</v>
      </c>
      <c r="H28" s="16">
        <v>10000</v>
      </c>
      <c r="I28" s="16"/>
      <c r="J28" s="16"/>
      <c r="K28" s="16"/>
      <c r="L28" s="16"/>
      <c r="M28" s="178">
        <f t="shared" si="2"/>
        <v>10000</v>
      </c>
      <c r="N28" s="179">
        <f t="shared" si="0"/>
        <v>0</v>
      </c>
    </row>
    <row r="29" spans="1:14" s="3" customFormat="1" ht="51">
      <c r="A29" s="25"/>
      <c r="B29" s="26" t="s">
        <v>159</v>
      </c>
      <c r="C29" s="101" t="s">
        <v>585</v>
      </c>
      <c r="D29" s="16"/>
      <c r="E29" s="16">
        <f>500*50+12000</f>
        <v>37000</v>
      </c>
      <c r="F29" s="16"/>
      <c r="G29" s="23">
        <f>SUM(D29:F29)</f>
        <v>37000</v>
      </c>
      <c r="H29" s="16"/>
      <c r="I29" s="16">
        <f>G29/3</f>
        <v>12333.333333333334</v>
      </c>
      <c r="J29" s="16">
        <f>2*I29</f>
        <v>24666.666666666668</v>
      </c>
      <c r="K29" s="16"/>
      <c r="L29" s="16"/>
      <c r="M29" s="23">
        <f t="shared" si="2"/>
        <v>37000</v>
      </c>
      <c r="N29" s="3">
        <f t="shared" si="0"/>
        <v>0</v>
      </c>
    </row>
    <row r="30" spans="1:14" s="3" customFormat="1" ht="51">
      <c r="A30" s="25"/>
      <c r="B30" s="26" t="s">
        <v>160</v>
      </c>
      <c r="C30" s="101" t="s">
        <v>594</v>
      </c>
      <c r="D30" s="16"/>
      <c r="E30" s="16">
        <f>400*30+5000</f>
        <v>17000</v>
      </c>
      <c r="F30" s="16"/>
      <c r="G30" s="23">
        <f>SUM(D30:F30)</f>
        <v>17000</v>
      </c>
      <c r="H30" s="16"/>
      <c r="I30" s="16">
        <f>G30/3</f>
        <v>5666.666666666667</v>
      </c>
      <c r="J30" s="16">
        <f>2*I30</f>
        <v>11333.333333333334</v>
      </c>
      <c r="K30" s="16"/>
      <c r="L30" s="16"/>
      <c r="M30" s="23">
        <f t="shared" si="2"/>
        <v>17000</v>
      </c>
      <c r="N30" s="3">
        <f t="shared" si="0"/>
        <v>0</v>
      </c>
    </row>
    <row r="31" spans="1:14" s="3" customFormat="1" ht="51">
      <c r="A31" s="25"/>
      <c r="B31" s="26" t="s">
        <v>161</v>
      </c>
      <c r="C31" s="101" t="s">
        <v>595</v>
      </c>
      <c r="D31" s="16"/>
      <c r="E31" s="16">
        <f>400*25+5000</f>
        <v>15000</v>
      </c>
      <c r="F31" s="16"/>
      <c r="G31" s="23">
        <f>SUM(D31:F31)</f>
        <v>15000</v>
      </c>
      <c r="H31" s="16"/>
      <c r="I31" s="16">
        <f>G31/3</f>
        <v>5000</v>
      </c>
      <c r="J31" s="16">
        <f>2*I31</f>
        <v>10000</v>
      </c>
      <c r="K31" s="16"/>
      <c r="L31" s="16"/>
      <c r="M31" s="23">
        <f t="shared" si="2"/>
        <v>15000</v>
      </c>
      <c r="N31" s="3">
        <f t="shared" si="0"/>
        <v>0</v>
      </c>
    </row>
    <row r="32" spans="1:14" s="3" customFormat="1" ht="51">
      <c r="A32" s="25"/>
      <c r="B32" s="26" t="s">
        <v>162</v>
      </c>
      <c r="C32" s="101" t="s">
        <v>596</v>
      </c>
      <c r="D32" s="16"/>
      <c r="E32" s="16">
        <f>400*20+5000</f>
        <v>13000</v>
      </c>
      <c r="F32" s="16"/>
      <c r="G32" s="23">
        <f>SUM(D32:F32)</f>
        <v>13000</v>
      </c>
      <c r="H32" s="16"/>
      <c r="I32" s="16">
        <f>G32/3</f>
        <v>4333.333333333333</v>
      </c>
      <c r="J32" s="16">
        <f>2*I32</f>
        <v>8666.666666666666</v>
      </c>
      <c r="K32" s="16"/>
      <c r="L32" s="16"/>
      <c r="M32" s="23">
        <f t="shared" si="2"/>
        <v>13000</v>
      </c>
      <c r="N32" s="3">
        <f t="shared" si="0"/>
        <v>0</v>
      </c>
    </row>
    <row r="33" spans="1:14" s="3" customFormat="1" ht="51">
      <c r="A33" s="25"/>
      <c r="B33" s="26" t="s">
        <v>545</v>
      </c>
      <c r="C33" s="101" t="s">
        <v>645</v>
      </c>
      <c r="D33" s="16"/>
      <c r="E33" s="16">
        <f>400*30+5000</f>
        <v>17000</v>
      </c>
      <c r="F33" s="16"/>
      <c r="G33" s="23">
        <f>SUM(D33:F33)</f>
        <v>17000</v>
      </c>
      <c r="H33" s="16"/>
      <c r="I33" s="16">
        <f>G33/3</f>
        <v>5666.666666666667</v>
      </c>
      <c r="J33" s="16">
        <f>2*I33</f>
        <v>11333.333333333334</v>
      </c>
      <c r="K33" s="16"/>
      <c r="L33" s="16"/>
      <c r="M33" s="23">
        <f t="shared" si="2"/>
        <v>17000</v>
      </c>
      <c r="N33" s="3">
        <f t="shared" si="0"/>
        <v>0</v>
      </c>
    </row>
    <row r="34" spans="1:14" s="3" customFormat="1" ht="63.75">
      <c r="A34" s="25"/>
      <c r="B34" s="26" t="s">
        <v>546</v>
      </c>
      <c r="C34" s="101" t="s">
        <v>638</v>
      </c>
      <c r="D34" s="16"/>
      <c r="E34" s="16">
        <f>400*90+21000</f>
        <v>57000</v>
      </c>
      <c r="F34" s="16"/>
      <c r="G34" s="23">
        <f t="shared" si="3"/>
        <v>57000</v>
      </c>
      <c r="H34" s="46"/>
      <c r="I34" s="16"/>
      <c r="J34" s="16">
        <f>2*G34/4</f>
        <v>28500</v>
      </c>
      <c r="K34" s="16">
        <f>G34/4</f>
        <v>14250</v>
      </c>
      <c r="L34" s="16">
        <f>K34</f>
        <v>14250</v>
      </c>
      <c r="M34" s="23">
        <f t="shared" si="2"/>
        <v>57000</v>
      </c>
      <c r="N34" s="3">
        <f t="shared" si="0"/>
        <v>0</v>
      </c>
    </row>
    <row r="35" spans="1:14" s="3" customFormat="1" ht="76.5">
      <c r="A35" s="25"/>
      <c r="B35" s="26" t="s">
        <v>547</v>
      </c>
      <c r="C35" s="101" t="s">
        <v>584</v>
      </c>
      <c r="D35" s="16"/>
      <c r="E35" s="16">
        <f>6*200*30</f>
        <v>36000</v>
      </c>
      <c r="F35" s="16"/>
      <c r="G35" s="23">
        <f t="shared" si="3"/>
        <v>36000</v>
      </c>
      <c r="H35" s="46"/>
      <c r="I35" s="16"/>
      <c r="J35" s="16">
        <f>2*G35/4</f>
        <v>18000</v>
      </c>
      <c r="K35" s="16">
        <f>G35/4</f>
        <v>9000</v>
      </c>
      <c r="L35" s="16">
        <f>K35</f>
        <v>9000</v>
      </c>
      <c r="M35" s="23">
        <f t="shared" si="2"/>
        <v>36000</v>
      </c>
      <c r="N35" s="3">
        <f t="shared" si="0"/>
        <v>0</v>
      </c>
    </row>
    <row r="36" spans="1:14" s="179" customFormat="1" ht="63.75">
      <c r="A36" s="25"/>
      <c r="B36" s="26" t="s">
        <v>548</v>
      </c>
      <c r="C36" s="101" t="s">
        <v>633</v>
      </c>
      <c r="D36" s="16"/>
      <c r="E36" s="16">
        <f>6*200*15</f>
        <v>18000</v>
      </c>
      <c r="F36" s="16"/>
      <c r="G36" s="23">
        <f t="shared" si="3"/>
        <v>18000</v>
      </c>
      <c r="H36" s="46"/>
      <c r="I36" s="16"/>
      <c r="J36" s="16"/>
      <c r="K36" s="16">
        <v>10000</v>
      </c>
      <c r="L36" s="16">
        <f>G36-K36</f>
        <v>8000</v>
      </c>
      <c r="M36" s="23">
        <f t="shared" si="2"/>
        <v>18000</v>
      </c>
      <c r="N36" s="3">
        <f t="shared" si="0"/>
        <v>0</v>
      </c>
    </row>
    <row r="37" spans="1:14" s="172" customFormat="1" ht="12.75">
      <c r="A37" s="168"/>
      <c r="B37" s="284" t="s">
        <v>623</v>
      </c>
      <c r="C37" s="284" t="s">
        <v>619</v>
      </c>
      <c r="D37" s="170"/>
      <c r="E37" s="170"/>
      <c r="F37" s="170">
        <f>'DP1'!F20+'DP1'!F21</f>
        <v>5763.74</v>
      </c>
      <c r="G37" s="171">
        <f t="shared" si="3"/>
        <v>5763.74</v>
      </c>
      <c r="H37" s="170">
        <f>G37</f>
        <v>5763.74</v>
      </c>
      <c r="I37" s="170"/>
      <c r="J37" s="170"/>
      <c r="K37" s="170"/>
      <c r="L37" s="170"/>
      <c r="M37" s="171">
        <f t="shared" si="2"/>
        <v>5763.74</v>
      </c>
      <c r="N37" s="172">
        <f t="shared" si="0"/>
        <v>0</v>
      </c>
    </row>
    <row r="38" spans="1:14" s="172" customFormat="1" ht="12.75">
      <c r="A38" s="168"/>
      <c r="B38" s="284" t="s">
        <v>624</v>
      </c>
      <c r="C38" s="284" t="s">
        <v>620</v>
      </c>
      <c r="D38" s="170"/>
      <c r="E38" s="170"/>
      <c r="F38" s="170">
        <f>'DP2'!F20</f>
        <v>5681.24</v>
      </c>
      <c r="G38" s="171">
        <f t="shared" si="3"/>
        <v>5681.24</v>
      </c>
      <c r="H38" s="170">
        <f>G38</f>
        <v>5681.24</v>
      </c>
      <c r="I38" s="170"/>
      <c r="J38" s="170"/>
      <c r="K38" s="170"/>
      <c r="L38" s="170"/>
      <c r="M38" s="171">
        <f t="shared" si="2"/>
        <v>5681.24</v>
      </c>
      <c r="N38" s="172">
        <f t="shared" si="0"/>
        <v>0</v>
      </c>
    </row>
    <row r="39" spans="1:14" s="172" customFormat="1" ht="12.75">
      <c r="A39" s="168"/>
      <c r="B39" s="284" t="s">
        <v>163</v>
      </c>
      <c r="C39" s="284" t="s">
        <v>621</v>
      </c>
      <c r="D39" s="170"/>
      <c r="E39" s="170"/>
      <c r="F39" s="170">
        <f>'DP3'!F20+'DP3'!F21</f>
        <v>5152.04</v>
      </c>
      <c r="G39" s="171">
        <f t="shared" si="3"/>
        <v>5152.04</v>
      </c>
      <c r="H39" s="170">
        <f>G39</f>
        <v>5152.04</v>
      </c>
      <c r="I39" s="170"/>
      <c r="J39" s="170"/>
      <c r="K39" s="170"/>
      <c r="L39" s="170"/>
      <c r="M39" s="171">
        <f t="shared" si="2"/>
        <v>5152.04</v>
      </c>
      <c r="N39" s="172">
        <f t="shared" si="0"/>
        <v>0</v>
      </c>
    </row>
    <row r="40" spans="1:14" s="3" customFormat="1" ht="51">
      <c r="A40" s="25"/>
      <c r="B40" s="26" t="s">
        <v>164</v>
      </c>
      <c r="C40" s="101" t="s">
        <v>642</v>
      </c>
      <c r="D40" s="16"/>
      <c r="E40" s="16"/>
      <c r="F40" s="16">
        <f>6*200*15</f>
        <v>18000</v>
      </c>
      <c r="G40" s="23">
        <f>SUM(D40:F40)</f>
        <v>18000</v>
      </c>
      <c r="H40" s="46"/>
      <c r="I40" s="16"/>
      <c r="J40" s="16"/>
      <c r="K40" s="16">
        <f>G40/2</f>
        <v>9000</v>
      </c>
      <c r="L40" s="16">
        <f>K40</f>
        <v>9000</v>
      </c>
      <c r="M40" s="23">
        <f t="shared" si="2"/>
        <v>18000</v>
      </c>
      <c r="N40" s="3">
        <f t="shared" si="0"/>
        <v>0</v>
      </c>
    </row>
    <row r="41" spans="1:14" s="3" customFormat="1" ht="63.75">
      <c r="A41" s="25"/>
      <c r="B41" s="26" t="s">
        <v>283</v>
      </c>
      <c r="C41" s="101" t="s">
        <v>514</v>
      </c>
      <c r="D41" s="16"/>
      <c r="E41" s="16"/>
      <c r="F41" s="16">
        <f>400*20</f>
        <v>8000</v>
      </c>
      <c r="G41" s="23">
        <f t="shared" si="3"/>
        <v>8000</v>
      </c>
      <c r="H41" s="46"/>
      <c r="I41" s="16"/>
      <c r="J41" s="16"/>
      <c r="K41" s="16">
        <f>G41</f>
        <v>8000</v>
      </c>
      <c r="L41" s="16"/>
      <c r="M41" s="23">
        <f t="shared" si="2"/>
        <v>8000</v>
      </c>
      <c r="N41" s="3">
        <f t="shared" si="0"/>
        <v>0</v>
      </c>
    </row>
    <row r="42" spans="1:14" s="3" customFormat="1" ht="51">
      <c r="A42" s="25"/>
      <c r="B42" s="26" t="s">
        <v>634</v>
      </c>
      <c r="C42" s="101" t="s">
        <v>643</v>
      </c>
      <c r="D42" s="16"/>
      <c r="E42" s="16"/>
      <c r="F42" s="16">
        <f>400*17</f>
        <v>6800</v>
      </c>
      <c r="G42" s="23">
        <f t="shared" si="3"/>
        <v>6800</v>
      </c>
      <c r="H42" s="46"/>
      <c r="I42" s="16"/>
      <c r="J42" s="16"/>
      <c r="K42" s="16">
        <f>F42</f>
        <v>6800</v>
      </c>
      <c r="L42" s="16"/>
      <c r="M42" s="23">
        <f t="shared" si="2"/>
        <v>6800</v>
      </c>
      <c r="N42" s="3">
        <f t="shared" si="0"/>
        <v>0</v>
      </c>
    </row>
    <row r="43" spans="1:14" s="3" customFormat="1" ht="12.75">
      <c r="A43" s="25"/>
      <c r="B43" s="39" t="s">
        <v>15</v>
      </c>
      <c r="C43" s="102" t="s">
        <v>138</v>
      </c>
      <c r="D43" s="17">
        <f aca="true" t="shared" si="4" ref="D43:M43">SUM(D20:D42)</f>
        <v>172723.32</v>
      </c>
      <c r="E43" s="17">
        <f t="shared" si="4"/>
        <v>305761.46</v>
      </c>
      <c r="F43" s="17">
        <f t="shared" si="4"/>
        <v>75158.48000000001</v>
      </c>
      <c r="G43" s="23">
        <f t="shared" si="4"/>
        <v>553643.26</v>
      </c>
      <c r="H43" s="47">
        <f t="shared" si="4"/>
        <v>206843.25999999998</v>
      </c>
      <c r="I43" s="17">
        <f t="shared" si="4"/>
        <v>33000</v>
      </c>
      <c r="J43" s="17">
        <f t="shared" si="4"/>
        <v>198500</v>
      </c>
      <c r="K43" s="17">
        <f t="shared" si="4"/>
        <v>66050</v>
      </c>
      <c r="L43" s="17">
        <f t="shared" si="4"/>
        <v>49250</v>
      </c>
      <c r="M43" s="23">
        <f t="shared" si="4"/>
        <v>553643.26</v>
      </c>
      <c r="N43" s="3">
        <f t="shared" si="0"/>
        <v>0</v>
      </c>
    </row>
    <row r="44" spans="1:14" s="3" customFormat="1" ht="12.75">
      <c r="A44" s="59"/>
      <c r="B44" s="66" t="s">
        <v>16</v>
      </c>
      <c r="C44" s="104" t="s">
        <v>95</v>
      </c>
      <c r="D44" s="61"/>
      <c r="E44" s="61"/>
      <c r="F44" s="61"/>
      <c r="G44" s="62"/>
      <c r="H44" s="63"/>
      <c r="I44" s="61"/>
      <c r="J44" s="61"/>
      <c r="K44" s="61"/>
      <c r="L44" s="61"/>
      <c r="M44" s="64"/>
      <c r="N44" s="3">
        <f t="shared" si="0"/>
        <v>0</v>
      </c>
    </row>
    <row r="45" spans="1:14" s="3" customFormat="1" ht="12.75">
      <c r="A45" s="54"/>
      <c r="B45" s="67"/>
      <c r="C45" s="100" t="s">
        <v>113</v>
      </c>
      <c r="D45" s="56"/>
      <c r="E45" s="56"/>
      <c r="F45" s="56"/>
      <c r="G45" s="57"/>
      <c r="H45" s="58"/>
      <c r="I45" s="56"/>
      <c r="J45" s="56"/>
      <c r="K45" s="56"/>
      <c r="L45" s="56"/>
      <c r="M45" s="65"/>
      <c r="N45" s="3">
        <f aca="true" t="shared" si="5" ref="N45:N75">G45-M45</f>
        <v>0</v>
      </c>
    </row>
    <row r="46" spans="1:14" s="3" customFormat="1" ht="12.75">
      <c r="A46" s="25"/>
      <c r="B46" s="39" t="s">
        <v>17</v>
      </c>
      <c r="C46" s="101" t="s">
        <v>346</v>
      </c>
      <c r="D46" s="16">
        <f>M46/3</f>
        <v>17388.758130986665</v>
      </c>
      <c r="E46" s="16">
        <f>D46</f>
        <v>17388.758130986665</v>
      </c>
      <c r="F46" s="16">
        <f>E46</f>
        <v>17388.758130986665</v>
      </c>
      <c r="G46" s="23">
        <f>SUM(D46:F46)</f>
        <v>52166.27439296</v>
      </c>
      <c r="H46" s="16">
        <v>7638.32</v>
      </c>
      <c r="I46" s="16">
        <v>10485.89</v>
      </c>
      <c r="J46" s="16">
        <f aca="true" t="shared" si="6" ref="J46:L47">I46*104%</f>
        <v>10905.3256</v>
      </c>
      <c r="K46" s="16">
        <f t="shared" si="6"/>
        <v>11341.538624</v>
      </c>
      <c r="L46" s="16">
        <f t="shared" si="6"/>
        <v>11795.200168960002</v>
      </c>
      <c r="M46" s="23">
        <f>SUM(H46:L46)</f>
        <v>52166.27439296</v>
      </c>
      <c r="N46" s="3">
        <f t="shared" si="5"/>
        <v>0</v>
      </c>
    </row>
    <row r="47" spans="1:14" s="3" customFormat="1" ht="12.75">
      <c r="A47" s="25"/>
      <c r="B47" s="39" t="s">
        <v>18</v>
      </c>
      <c r="C47" s="101" t="s">
        <v>347</v>
      </c>
      <c r="D47" s="16">
        <f>M47/3</f>
        <v>16044.794267520001</v>
      </c>
      <c r="E47" s="16">
        <f>D47</f>
        <v>16044.794267520001</v>
      </c>
      <c r="F47" s="16">
        <f>E47</f>
        <v>16044.794267520001</v>
      </c>
      <c r="G47" s="23">
        <f>SUM(D47:F47)</f>
        <v>48134.38280256</v>
      </c>
      <c r="H47" s="16">
        <v>7093.2</v>
      </c>
      <c r="I47" s="16">
        <v>9664.79</v>
      </c>
      <c r="J47" s="16">
        <f t="shared" si="6"/>
        <v>10051.3816</v>
      </c>
      <c r="K47" s="16">
        <f t="shared" si="6"/>
        <v>10453.436864000001</v>
      </c>
      <c r="L47" s="16">
        <f t="shared" si="6"/>
        <v>10871.574338560002</v>
      </c>
      <c r="M47" s="23">
        <f>SUM(H47:L47)</f>
        <v>48134.38280256</v>
      </c>
      <c r="N47" s="3">
        <f t="shared" si="5"/>
        <v>0</v>
      </c>
    </row>
    <row r="48" spans="1:14" s="3" customFormat="1" ht="12.75">
      <c r="A48" s="25"/>
      <c r="B48" s="39" t="s">
        <v>20</v>
      </c>
      <c r="C48" s="102" t="s">
        <v>138</v>
      </c>
      <c r="D48" s="17">
        <f aca="true" t="shared" si="7" ref="D48:M48">SUM(D46:D47)</f>
        <v>33433.55239850667</v>
      </c>
      <c r="E48" s="17">
        <f t="shared" si="7"/>
        <v>33433.55239850667</v>
      </c>
      <c r="F48" s="17">
        <f t="shared" si="7"/>
        <v>33433.55239850667</v>
      </c>
      <c r="G48" s="17">
        <f t="shared" si="7"/>
        <v>100300.65719552</v>
      </c>
      <c r="H48" s="17">
        <f t="shared" si="7"/>
        <v>14731.52</v>
      </c>
      <c r="I48" s="17">
        <f t="shared" si="7"/>
        <v>20150.68</v>
      </c>
      <c r="J48" s="17">
        <f t="shared" si="7"/>
        <v>20956.7072</v>
      </c>
      <c r="K48" s="17">
        <f t="shared" si="7"/>
        <v>21794.975488000004</v>
      </c>
      <c r="L48" s="17">
        <f t="shared" si="7"/>
        <v>22666.774507520004</v>
      </c>
      <c r="M48" s="17">
        <f t="shared" si="7"/>
        <v>100300.65719552</v>
      </c>
      <c r="N48" s="3">
        <f t="shared" si="5"/>
        <v>0</v>
      </c>
    </row>
    <row r="49" spans="1:14" s="3" customFormat="1" ht="12.75">
      <c r="A49" s="25"/>
      <c r="B49" s="40" t="s">
        <v>21</v>
      </c>
      <c r="C49" s="106" t="s">
        <v>110</v>
      </c>
      <c r="D49" s="15"/>
      <c r="E49" s="15"/>
      <c r="F49" s="15"/>
      <c r="G49" s="34"/>
      <c r="H49" s="27"/>
      <c r="I49" s="15"/>
      <c r="J49" s="15"/>
      <c r="K49" s="15"/>
      <c r="L49" s="15"/>
      <c r="M49" s="23"/>
      <c r="N49" s="3">
        <f t="shared" si="5"/>
        <v>0</v>
      </c>
    </row>
    <row r="50" spans="1:14" s="3" customFormat="1" ht="12.75">
      <c r="A50" s="25"/>
      <c r="B50" s="39" t="s">
        <v>22</v>
      </c>
      <c r="C50" s="105"/>
      <c r="D50" s="15"/>
      <c r="E50" s="15"/>
      <c r="F50" s="15"/>
      <c r="G50" s="23">
        <f>SUM(D50:F50)</f>
        <v>0</v>
      </c>
      <c r="H50" s="46"/>
      <c r="I50" s="16"/>
      <c r="J50" s="16"/>
      <c r="K50" s="16"/>
      <c r="L50" s="16"/>
      <c r="M50" s="23">
        <f>SUM(H50:L50)</f>
        <v>0</v>
      </c>
      <c r="N50" s="3">
        <f t="shared" si="5"/>
        <v>0</v>
      </c>
    </row>
    <row r="51" spans="1:14" s="3" customFormat="1" ht="12.75">
      <c r="A51" s="25"/>
      <c r="B51" s="39" t="s">
        <v>23</v>
      </c>
      <c r="C51" s="105"/>
      <c r="D51" s="15"/>
      <c r="E51" s="15"/>
      <c r="F51" s="15"/>
      <c r="G51" s="23">
        <f>SUM(D51:F51)</f>
        <v>0</v>
      </c>
      <c r="H51" s="46"/>
      <c r="I51" s="16"/>
      <c r="J51" s="16"/>
      <c r="K51" s="16"/>
      <c r="L51" s="16"/>
      <c r="M51" s="23">
        <f>SUM(H51:L51)</f>
        <v>0</v>
      </c>
      <c r="N51" s="3">
        <f t="shared" si="5"/>
        <v>0</v>
      </c>
    </row>
    <row r="52" spans="1:14" s="3" customFormat="1" ht="12.75">
      <c r="A52" s="25"/>
      <c r="B52" s="39" t="s">
        <v>111</v>
      </c>
      <c r="C52" s="105"/>
      <c r="D52" s="15"/>
      <c r="E52" s="15"/>
      <c r="F52" s="15"/>
      <c r="G52" s="23">
        <f>SUM(D52:F52)</f>
        <v>0</v>
      </c>
      <c r="H52" s="46"/>
      <c r="I52" s="16"/>
      <c r="J52" s="16"/>
      <c r="K52" s="16"/>
      <c r="L52" s="16"/>
      <c r="M52" s="23">
        <f>SUM(H52:L52)</f>
        <v>0</v>
      </c>
      <c r="N52" s="3">
        <f t="shared" si="5"/>
        <v>0</v>
      </c>
    </row>
    <row r="53" spans="1:14" s="3" customFormat="1" ht="12.75">
      <c r="A53" s="25"/>
      <c r="B53" s="39" t="s">
        <v>24</v>
      </c>
      <c r="C53" s="102" t="s">
        <v>138</v>
      </c>
      <c r="D53" s="17">
        <f>SUM(D50:D52)</f>
        <v>0</v>
      </c>
      <c r="E53" s="17">
        <f aca="true" t="shared" si="8" ref="E53:M53">SUM(E50:E52)</f>
        <v>0</v>
      </c>
      <c r="F53" s="17">
        <f t="shared" si="8"/>
        <v>0</v>
      </c>
      <c r="G53" s="17">
        <f t="shared" si="8"/>
        <v>0</v>
      </c>
      <c r="H53" s="17">
        <f t="shared" si="8"/>
        <v>0</v>
      </c>
      <c r="I53" s="17">
        <f t="shared" si="8"/>
        <v>0</v>
      </c>
      <c r="J53" s="17">
        <f t="shared" si="8"/>
        <v>0</v>
      </c>
      <c r="K53" s="17">
        <f t="shared" si="8"/>
        <v>0</v>
      </c>
      <c r="L53" s="17">
        <f t="shared" si="8"/>
        <v>0</v>
      </c>
      <c r="M53" s="17">
        <f t="shared" si="8"/>
        <v>0</v>
      </c>
      <c r="N53" s="3">
        <f t="shared" si="5"/>
        <v>0</v>
      </c>
    </row>
    <row r="54" spans="1:14" s="3" customFormat="1" ht="12.75">
      <c r="A54" s="25"/>
      <c r="B54" s="40" t="s">
        <v>25</v>
      </c>
      <c r="C54" s="106" t="s">
        <v>91</v>
      </c>
      <c r="D54" s="15"/>
      <c r="E54" s="15"/>
      <c r="F54" s="15"/>
      <c r="G54" s="34"/>
      <c r="H54" s="27"/>
      <c r="I54" s="15"/>
      <c r="J54" s="15"/>
      <c r="K54" s="15"/>
      <c r="L54" s="15"/>
      <c r="M54" s="23"/>
      <c r="N54" s="3">
        <f t="shared" si="5"/>
        <v>0</v>
      </c>
    </row>
    <row r="55" spans="1:14" s="3" customFormat="1" ht="102">
      <c r="A55" s="25"/>
      <c r="B55" s="39" t="s">
        <v>26</v>
      </c>
      <c r="C55" s="105" t="s">
        <v>631</v>
      </c>
      <c r="D55" s="16">
        <v>27000</v>
      </c>
      <c r="E55" s="15"/>
      <c r="F55" s="15"/>
      <c r="G55" s="23">
        <f>SUM(D55:F55)</f>
        <v>27000</v>
      </c>
      <c r="H55" s="16">
        <v>10000</v>
      </c>
      <c r="I55" s="16">
        <v>5000</v>
      </c>
      <c r="J55" s="16">
        <v>12000</v>
      </c>
      <c r="K55" s="16"/>
      <c r="L55" s="16"/>
      <c r="M55" s="23">
        <f aca="true" t="shared" si="9" ref="M55:M72">SUM(H55:L55)</f>
        <v>27000</v>
      </c>
      <c r="N55" s="3">
        <f>G55-M55</f>
        <v>0</v>
      </c>
    </row>
    <row r="56" spans="1:14" s="179" customFormat="1" ht="25.5">
      <c r="A56" s="25"/>
      <c r="B56" s="26" t="s">
        <v>27</v>
      </c>
      <c r="C56" s="101" t="s">
        <v>181</v>
      </c>
      <c r="D56" s="16">
        <f>H56/3</f>
        <v>5966</v>
      </c>
      <c r="E56" s="16">
        <f>D56</f>
        <v>5966</v>
      </c>
      <c r="F56" s="16">
        <f>E56</f>
        <v>5966</v>
      </c>
      <c r="G56" s="178">
        <f aca="true" t="shared" si="10" ref="G56:G72">SUM(D56:F56)</f>
        <v>17898</v>
      </c>
      <c r="H56" s="46">
        <v>17898</v>
      </c>
      <c r="I56" s="16"/>
      <c r="J56" s="16"/>
      <c r="K56" s="16"/>
      <c r="L56" s="16"/>
      <c r="M56" s="178">
        <f t="shared" si="9"/>
        <v>17898</v>
      </c>
      <c r="N56" s="179">
        <f t="shared" si="5"/>
        <v>0</v>
      </c>
    </row>
    <row r="57" spans="1:14" s="3" customFormat="1" ht="51">
      <c r="A57" s="25"/>
      <c r="B57" s="39" t="s">
        <v>112</v>
      </c>
      <c r="C57" s="105" t="s">
        <v>572</v>
      </c>
      <c r="D57" s="16">
        <f>3*2000+2000</f>
        <v>8000</v>
      </c>
      <c r="E57" s="15"/>
      <c r="F57" s="15"/>
      <c r="G57" s="23">
        <f t="shared" si="10"/>
        <v>8000</v>
      </c>
      <c r="H57" s="46"/>
      <c r="I57" s="16"/>
      <c r="J57" s="16">
        <f>G57</f>
        <v>8000</v>
      </c>
      <c r="K57" s="16"/>
      <c r="L57" s="16"/>
      <c r="M57" s="23">
        <f t="shared" si="9"/>
        <v>8000</v>
      </c>
      <c r="N57" s="3">
        <f t="shared" si="5"/>
        <v>0</v>
      </c>
    </row>
    <row r="58" spans="1:14" s="3" customFormat="1" ht="51">
      <c r="A58" s="25"/>
      <c r="B58" s="39" t="s">
        <v>166</v>
      </c>
      <c r="C58" s="105" t="s">
        <v>221</v>
      </c>
      <c r="D58" s="16">
        <f>3*2000+2000</f>
        <v>8000</v>
      </c>
      <c r="E58" s="15"/>
      <c r="F58" s="15"/>
      <c r="G58" s="23">
        <f t="shared" si="10"/>
        <v>8000</v>
      </c>
      <c r="H58" s="46"/>
      <c r="I58" s="16"/>
      <c r="J58" s="16">
        <f>G58</f>
        <v>8000</v>
      </c>
      <c r="K58" s="16"/>
      <c r="L58" s="16"/>
      <c r="M58" s="23">
        <f t="shared" si="9"/>
        <v>8000</v>
      </c>
      <c r="N58" s="3">
        <f t="shared" si="5"/>
        <v>0</v>
      </c>
    </row>
    <row r="59" spans="1:14" s="3" customFormat="1" ht="51">
      <c r="A59" s="25"/>
      <c r="B59" s="39" t="s">
        <v>167</v>
      </c>
      <c r="C59" s="105" t="s">
        <v>184</v>
      </c>
      <c r="D59" s="16"/>
      <c r="E59" s="16">
        <f>3*2000+2000</f>
        <v>8000</v>
      </c>
      <c r="F59" s="15"/>
      <c r="G59" s="23">
        <f t="shared" si="10"/>
        <v>8000</v>
      </c>
      <c r="H59" s="46"/>
      <c r="I59" s="46"/>
      <c r="J59" s="16">
        <f>G59</f>
        <v>8000</v>
      </c>
      <c r="K59" s="16"/>
      <c r="L59" s="16"/>
      <c r="M59" s="23">
        <f t="shared" si="9"/>
        <v>8000</v>
      </c>
      <c r="N59" s="3">
        <f t="shared" si="5"/>
        <v>0</v>
      </c>
    </row>
    <row r="60" spans="1:14" s="3" customFormat="1" ht="51">
      <c r="A60" s="25"/>
      <c r="B60" s="39" t="s">
        <v>168</v>
      </c>
      <c r="C60" s="105" t="s">
        <v>182</v>
      </c>
      <c r="D60" s="16"/>
      <c r="E60" s="16">
        <f>3*2000+2000</f>
        <v>8000</v>
      </c>
      <c r="F60" s="15"/>
      <c r="G60" s="23">
        <f t="shared" si="10"/>
        <v>8000</v>
      </c>
      <c r="H60" s="46"/>
      <c r="I60" s="16"/>
      <c r="J60" s="16">
        <f>G60</f>
        <v>8000</v>
      </c>
      <c r="K60" s="16"/>
      <c r="L60" s="16"/>
      <c r="M60" s="23">
        <f t="shared" si="9"/>
        <v>8000</v>
      </c>
      <c r="N60" s="3">
        <f t="shared" si="5"/>
        <v>0</v>
      </c>
    </row>
    <row r="61" spans="1:14" s="3" customFormat="1" ht="25.5">
      <c r="A61" s="25"/>
      <c r="B61" s="39" t="s">
        <v>169</v>
      </c>
      <c r="C61" s="105" t="s">
        <v>632</v>
      </c>
      <c r="D61" s="15"/>
      <c r="E61" s="16">
        <v>15000</v>
      </c>
      <c r="F61" s="16"/>
      <c r="G61" s="23">
        <f>SUM(D61:F61)</f>
        <v>15000</v>
      </c>
      <c r="H61" s="46"/>
      <c r="I61" s="16"/>
      <c r="J61" s="16">
        <f>G61</f>
        <v>15000</v>
      </c>
      <c r="K61" s="16"/>
      <c r="L61" s="16"/>
      <c r="M61" s="23">
        <f>SUM(H61:L61)</f>
        <v>15000</v>
      </c>
      <c r="N61" s="3">
        <f>G61-M61</f>
        <v>0</v>
      </c>
    </row>
    <row r="62" spans="1:14" s="3" customFormat="1" ht="25.5">
      <c r="A62" s="25"/>
      <c r="B62" s="39" t="s">
        <v>170</v>
      </c>
      <c r="C62" s="105" t="s">
        <v>580</v>
      </c>
      <c r="D62" s="16"/>
      <c r="E62" s="16">
        <v>15000</v>
      </c>
      <c r="F62" s="15"/>
      <c r="G62" s="23">
        <f t="shared" si="10"/>
        <v>15000</v>
      </c>
      <c r="H62" s="46"/>
      <c r="I62" s="16"/>
      <c r="J62" s="16">
        <v>4000</v>
      </c>
      <c r="K62" s="16">
        <v>8000</v>
      </c>
      <c r="L62" s="16">
        <v>3000</v>
      </c>
      <c r="M62" s="23">
        <f t="shared" si="9"/>
        <v>15000</v>
      </c>
      <c r="N62" s="3">
        <f t="shared" si="5"/>
        <v>0</v>
      </c>
    </row>
    <row r="63" spans="1:14" s="3" customFormat="1" ht="51">
      <c r="A63" s="25"/>
      <c r="B63" s="39" t="s">
        <v>171</v>
      </c>
      <c r="C63" s="105" t="s">
        <v>183</v>
      </c>
      <c r="D63" s="16"/>
      <c r="E63" s="16">
        <f>3*2000+2000</f>
        <v>8000</v>
      </c>
      <c r="F63" s="15"/>
      <c r="G63" s="23">
        <f t="shared" si="10"/>
        <v>8000</v>
      </c>
      <c r="H63" s="46"/>
      <c r="I63" s="16"/>
      <c r="J63" s="16">
        <f>G63</f>
        <v>8000</v>
      </c>
      <c r="K63" s="16"/>
      <c r="L63" s="16"/>
      <c r="M63" s="23">
        <f t="shared" si="9"/>
        <v>8000</v>
      </c>
      <c r="N63" s="3">
        <f t="shared" si="5"/>
        <v>0</v>
      </c>
    </row>
    <row r="64" spans="1:14" s="3" customFormat="1" ht="25.5">
      <c r="A64" s="25"/>
      <c r="B64" s="39" t="s">
        <v>172</v>
      </c>
      <c r="C64" s="105" t="s">
        <v>581</v>
      </c>
      <c r="D64" s="15"/>
      <c r="E64" s="16">
        <f>3*2000+2000</f>
        <v>8000</v>
      </c>
      <c r="F64" s="16"/>
      <c r="G64" s="23">
        <f t="shared" si="10"/>
        <v>8000</v>
      </c>
      <c r="H64" s="46"/>
      <c r="I64" s="16"/>
      <c r="J64" s="16"/>
      <c r="K64" s="16">
        <f>G64</f>
        <v>8000</v>
      </c>
      <c r="L64" s="16"/>
      <c r="M64" s="23">
        <f t="shared" si="9"/>
        <v>8000</v>
      </c>
      <c r="N64" s="3">
        <f t="shared" si="5"/>
        <v>0</v>
      </c>
    </row>
    <row r="65" spans="1:14" s="3" customFormat="1" ht="38.25">
      <c r="A65" s="25"/>
      <c r="B65" s="39" t="s">
        <v>173</v>
      </c>
      <c r="C65" s="105" t="s">
        <v>582</v>
      </c>
      <c r="D65" s="15"/>
      <c r="E65" s="16">
        <f>3*2000+2000</f>
        <v>8000</v>
      </c>
      <c r="F65" s="16"/>
      <c r="G65" s="23">
        <f t="shared" si="10"/>
        <v>8000</v>
      </c>
      <c r="H65" s="46"/>
      <c r="I65" s="16"/>
      <c r="J65" s="16"/>
      <c r="K65" s="16">
        <f>G65</f>
        <v>8000</v>
      </c>
      <c r="L65" s="16"/>
      <c r="M65" s="23">
        <f t="shared" si="9"/>
        <v>8000</v>
      </c>
      <c r="N65" s="3">
        <f t="shared" si="5"/>
        <v>0</v>
      </c>
    </row>
    <row r="66" spans="1:14" s="3" customFormat="1" ht="51">
      <c r="A66" s="25"/>
      <c r="B66" s="39" t="s">
        <v>174</v>
      </c>
      <c r="C66" s="105" t="s">
        <v>185</v>
      </c>
      <c r="D66" s="15"/>
      <c r="E66" s="16">
        <f>3*2000+2000</f>
        <v>8000</v>
      </c>
      <c r="F66" s="16"/>
      <c r="G66" s="23">
        <f t="shared" si="10"/>
        <v>8000</v>
      </c>
      <c r="H66" s="46"/>
      <c r="I66" s="16"/>
      <c r="J66" s="16"/>
      <c r="K66" s="16"/>
      <c r="L66" s="16">
        <f>G66</f>
        <v>8000</v>
      </c>
      <c r="M66" s="23">
        <f t="shared" si="9"/>
        <v>8000</v>
      </c>
      <c r="N66" s="3">
        <f t="shared" si="5"/>
        <v>0</v>
      </c>
    </row>
    <row r="67" spans="1:14" s="3" customFormat="1" ht="51">
      <c r="A67" s="25"/>
      <c r="B67" s="39" t="s">
        <v>175</v>
      </c>
      <c r="C67" s="105" t="s">
        <v>186</v>
      </c>
      <c r="D67" s="15"/>
      <c r="E67" s="16"/>
      <c r="F67" s="16">
        <f>3*2000+2000</f>
        <v>8000</v>
      </c>
      <c r="G67" s="23">
        <f t="shared" si="10"/>
        <v>8000</v>
      </c>
      <c r="H67" s="46">
        <f>G67</f>
        <v>8000</v>
      </c>
      <c r="I67" s="16"/>
      <c r="J67" s="16"/>
      <c r="K67" s="16"/>
      <c r="L67" s="16"/>
      <c r="M67" s="23">
        <f t="shared" si="9"/>
        <v>8000</v>
      </c>
      <c r="N67" s="3">
        <f t="shared" si="5"/>
        <v>0</v>
      </c>
    </row>
    <row r="68" spans="1:14" s="3" customFormat="1" ht="25.5">
      <c r="A68" s="25"/>
      <c r="B68" s="39" t="s">
        <v>176</v>
      </c>
      <c r="C68" s="105" t="s">
        <v>577</v>
      </c>
      <c r="D68" s="15"/>
      <c r="E68" s="16"/>
      <c r="F68" s="16">
        <f>'DP1'!F43</f>
        <v>10000</v>
      </c>
      <c r="G68" s="23">
        <f t="shared" si="10"/>
        <v>10000</v>
      </c>
      <c r="H68" s="46"/>
      <c r="I68" s="16"/>
      <c r="J68" s="46">
        <v>5000</v>
      </c>
      <c r="K68" s="46">
        <v>5000</v>
      </c>
      <c r="L68" s="46"/>
      <c r="M68" s="23">
        <f t="shared" si="9"/>
        <v>10000</v>
      </c>
      <c r="N68" s="3">
        <f t="shared" si="5"/>
        <v>0</v>
      </c>
    </row>
    <row r="69" spans="1:14" s="3" customFormat="1" ht="25.5">
      <c r="A69" s="25"/>
      <c r="B69" s="39" t="s">
        <v>177</v>
      </c>
      <c r="C69" s="105" t="s">
        <v>578</v>
      </c>
      <c r="D69" s="15"/>
      <c r="E69" s="15"/>
      <c r="F69" s="16">
        <f>'DP2'!F38</f>
        <v>10000</v>
      </c>
      <c r="G69" s="23">
        <f t="shared" si="10"/>
        <v>10000</v>
      </c>
      <c r="H69" s="46"/>
      <c r="I69" s="16"/>
      <c r="J69" s="46">
        <v>5000</v>
      </c>
      <c r="K69" s="46">
        <v>5000</v>
      </c>
      <c r="L69" s="46"/>
      <c r="M69" s="23">
        <f t="shared" si="9"/>
        <v>10000</v>
      </c>
      <c r="N69" s="3">
        <f t="shared" si="5"/>
        <v>0</v>
      </c>
    </row>
    <row r="70" spans="1:14" s="3" customFormat="1" ht="25.5">
      <c r="A70" s="25"/>
      <c r="B70" s="39" t="s">
        <v>178</v>
      </c>
      <c r="C70" s="105" t="s">
        <v>579</v>
      </c>
      <c r="D70" s="15"/>
      <c r="E70" s="15"/>
      <c r="F70" s="16">
        <f>'DP3'!F43</f>
        <v>10000</v>
      </c>
      <c r="G70" s="23">
        <f t="shared" si="10"/>
        <v>10000</v>
      </c>
      <c r="H70" s="46"/>
      <c r="I70" s="16"/>
      <c r="J70" s="46">
        <v>5000</v>
      </c>
      <c r="K70" s="46">
        <v>5000</v>
      </c>
      <c r="L70" s="46"/>
      <c r="M70" s="23">
        <f t="shared" si="9"/>
        <v>10000</v>
      </c>
      <c r="N70" s="3">
        <f t="shared" si="5"/>
        <v>0</v>
      </c>
    </row>
    <row r="71" spans="1:14" s="3" customFormat="1" ht="38.25">
      <c r="A71" s="25"/>
      <c r="B71" s="39" t="s">
        <v>179</v>
      </c>
      <c r="C71" s="105" t="s">
        <v>187</v>
      </c>
      <c r="D71" s="15"/>
      <c r="E71" s="15"/>
      <c r="F71" s="16">
        <v>10000</v>
      </c>
      <c r="G71" s="23">
        <f>SUM(D71:F71)</f>
        <v>10000</v>
      </c>
      <c r="H71" s="46"/>
      <c r="I71" s="16"/>
      <c r="J71" s="16"/>
      <c r="K71" s="16">
        <f>G71/2</f>
        <v>5000</v>
      </c>
      <c r="L71" s="16">
        <f>K71</f>
        <v>5000</v>
      </c>
      <c r="M71" s="23">
        <f t="shared" si="9"/>
        <v>10000</v>
      </c>
      <c r="N71" s="3">
        <f t="shared" si="5"/>
        <v>0</v>
      </c>
    </row>
    <row r="72" spans="1:14" s="3" customFormat="1" ht="89.25">
      <c r="A72" s="25"/>
      <c r="B72" s="39" t="s">
        <v>180</v>
      </c>
      <c r="C72" s="105" t="s">
        <v>625</v>
      </c>
      <c r="D72" s="15">
        <v>25000</v>
      </c>
      <c r="E72" s="15">
        <v>30000</v>
      </c>
      <c r="F72" s="15">
        <v>25000</v>
      </c>
      <c r="G72" s="23">
        <f t="shared" si="10"/>
        <v>80000</v>
      </c>
      <c r="H72" s="46">
        <v>10000</v>
      </c>
      <c r="I72" s="16">
        <v>30000</v>
      </c>
      <c r="J72" s="16">
        <v>15000</v>
      </c>
      <c r="K72" s="16">
        <f>J72</f>
        <v>15000</v>
      </c>
      <c r="L72" s="16">
        <v>10000</v>
      </c>
      <c r="M72" s="23">
        <f t="shared" si="9"/>
        <v>80000</v>
      </c>
      <c r="N72" s="3">
        <f t="shared" si="5"/>
        <v>0</v>
      </c>
    </row>
    <row r="73" spans="1:14" s="3" customFormat="1" ht="12.75">
      <c r="A73" s="25"/>
      <c r="B73" s="39" t="s">
        <v>28</v>
      </c>
      <c r="C73" s="102" t="s">
        <v>138</v>
      </c>
      <c r="D73" s="17">
        <f aca="true" t="shared" si="11" ref="D73:M73">SUM(D55:D72)</f>
        <v>73966</v>
      </c>
      <c r="E73" s="17">
        <f t="shared" si="11"/>
        <v>113966</v>
      </c>
      <c r="F73" s="17">
        <f t="shared" si="11"/>
        <v>78966</v>
      </c>
      <c r="G73" s="17">
        <f t="shared" si="11"/>
        <v>266898</v>
      </c>
      <c r="H73" s="17">
        <f t="shared" si="11"/>
        <v>45898</v>
      </c>
      <c r="I73" s="17">
        <f t="shared" si="11"/>
        <v>35000</v>
      </c>
      <c r="J73" s="17">
        <f t="shared" si="11"/>
        <v>101000</v>
      </c>
      <c r="K73" s="17">
        <f t="shared" si="11"/>
        <v>59000</v>
      </c>
      <c r="L73" s="17">
        <f t="shared" si="11"/>
        <v>26000</v>
      </c>
      <c r="M73" s="17">
        <f t="shared" si="11"/>
        <v>266898</v>
      </c>
      <c r="N73" s="3">
        <f t="shared" si="5"/>
        <v>0</v>
      </c>
    </row>
    <row r="74" spans="1:14" s="3" customFormat="1" ht="12.75">
      <c r="A74" s="35"/>
      <c r="B74" s="36">
        <v>1999</v>
      </c>
      <c r="C74" s="107" t="s">
        <v>29</v>
      </c>
      <c r="D74" s="17">
        <f aca="true" t="shared" si="12" ref="D74:M74">+D17+D43+D48+D53+D73</f>
        <v>762862.6906397868</v>
      </c>
      <c r="E74" s="17">
        <f t="shared" si="12"/>
        <v>935900.8306397867</v>
      </c>
      <c r="F74" s="17">
        <f t="shared" si="12"/>
        <v>670297.8506397867</v>
      </c>
      <c r="G74" s="17">
        <f t="shared" si="12"/>
        <v>2369061.37191936</v>
      </c>
      <c r="H74" s="17">
        <f t="shared" si="12"/>
        <v>546911.78</v>
      </c>
      <c r="I74" s="17">
        <f t="shared" si="12"/>
        <v>374361.43</v>
      </c>
      <c r="J74" s="17">
        <f t="shared" si="12"/>
        <v>618776.2004</v>
      </c>
      <c r="K74" s="17">
        <f t="shared" si="12"/>
        <v>458221.498816</v>
      </c>
      <c r="L74" s="17">
        <f t="shared" si="12"/>
        <v>370790.46270336007</v>
      </c>
      <c r="M74" s="17">
        <f t="shared" si="12"/>
        <v>2369061.37191936</v>
      </c>
      <c r="N74" s="3">
        <f t="shared" si="5"/>
        <v>0</v>
      </c>
    </row>
    <row r="75" spans="1:14" s="3" customFormat="1" ht="12.75">
      <c r="A75" s="80">
        <v>20</v>
      </c>
      <c r="B75" s="74" t="s">
        <v>104</v>
      </c>
      <c r="C75" s="108"/>
      <c r="D75" s="61"/>
      <c r="E75" s="61"/>
      <c r="F75" s="61"/>
      <c r="G75" s="62"/>
      <c r="H75" s="63"/>
      <c r="I75" s="61"/>
      <c r="J75" s="61"/>
      <c r="K75" s="61"/>
      <c r="L75" s="61"/>
      <c r="M75" s="64"/>
      <c r="N75" s="3">
        <f t="shared" si="5"/>
        <v>0</v>
      </c>
    </row>
    <row r="76" spans="1:14" s="3" customFormat="1" ht="12.75">
      <c r="A76" s="22"/>
      <c r="B76" s="76" t="s">
        <v>30</v>
      </c>
      <c r="C76" s="99" t="s">
        <v>115</v>
      </c>
      <c r="D76" s="81"/>
      <c r="E76" s="81"/>
      <c r="F76" s="81"/>
      <c r="G76" s="82"/>
      <c r="H76" s="83"/>
      <c r="I76" s="81"/>
      <c r="J76" s="81"/>
      <c r="K76" s="81"/>
      <c r="L76" s="81"/>
      <c r="M76" s="82"/>
      <c r="N76" s="3">
        <f aca="true" t="shared" si="13" ref="N76:N106">G76-M76</f>
        <v>0</v>
      </c>
    </row>
    <row r="77" spans="1:14" s="3" customFormat="1" ht="12.75">
      <c r="A77" s="54"/>
      <c r="B77" s="55"/>
      <c r="C77" s="100" t="s">
        <v>116</v>
      </c>
      <c r="D77" s="70"/>
      <c r="E77" s="70"/>
      <c r="F77" s="70"/>
      <c r="G77" s="65"/>
      <c r="H77" s="71"/>
      <c r="I77" s="70"/>
      <c r="J77" s="70"/>
      <c r="K77" s="70"/>
      <c r="L77" s="70"/>
      <c r="M77" s="65"/>
      <c r="N77" s="3">
        <f t="shared" si="13"/>
        <v>0</v>
      </c>
    </row>
    <row r="78" spans="1:14" s="3" customFormat="1" ht="12.75">
      <c r="A78" s="25"/>
      <c r="B78" s="26" t="s">
        <v>31</v>
      </c>
      <c r="C78" s="105"/>
      <c r="D78" s="16"/>
      <c r="E78" s="16"/>
      <c r="F78" s="16"/>
      <c r="G78" s="23">
        <f>SUM(D78:F78)</f>
        <v>0</v>
      </c>
      <c r="H78" s="46"/>
      <c r="I78" s="16"/>
      <c r="J78" s="16"/>
      <c r="K78" s="16"/>
      <c r="L78" s="16"/>
      <c r="M78" s="23">
        <f>SUM(H78:L78)</f>
        <v>0</v>
      </c>
      <c r="N78" s="3">
        <f t="shared" si="13"/>
        <v>0</v>
      </c>
    </row>
    <row r="79" spans="1:14" s="3" customFormat="1" ht="12.75">
      <c r="A79" s="25"/>
      <c r="B79" s="39" t="s">
        <v>32</v>
      </c>
      <c r="C79" s="102" t="s">
        <v>138</v>
      </c>
      <c r="D79" s="17">
        <f aca="true" t="shared" si="14" ref="D79:M79">SUM(D78:D78)</f>
        <v>0</v>
      </c>
      <c r="E79" s="17">
        <f t="shared" si="14"/>
        <v>0</v>
      </c>
      <c r="F79" s="17">
        <f t="shared" si="14"/>
        <v>0</v>
      </c>
      <c r="G79" s="17">
        <f t="shared" si="14"/>
        <v>0</v>
      </c>
      <c r="H79" s="17">
        <f t="shared" si="14"/>
        <v>0</v>
      </c>
      <c r="I79" s="17">
        <f t="shared" si="14"/>
        <v>0</v>
      </c>
      <c r="J79" s="17">
        <f t="shared" si="14"/>
        <v>0</v>
      </c>
      <c r="K79" s="17">
        <f t="shared" si="14"/>
        <v>0</v>
      </c>
      <c r="L79" s="17">
        <f t="shared" si="14"/>
        <v>0</v>
      </c>
      <c r="M79" s="17">
        <f t="shared" si="14"/>
        <v>0</v>
      </c>
      <c r="N79" s="3">
        <f t="shared" si="13"/>
        <v>0</v>
      </c>
    </row>
    <row r="80" spans="1:14" s="3" customFormat="1" ht="12.75">
      <c r="A80" s="59"/>
      <c r="B80" s="66" t="s">
        <v>33</v>
      </c>
      <c r="C80" s="103" t="s">
        <v>117</v>
      </c>
      <c r="D80" s="68"/>
      <c r="E80" s="68"/>
      <c r="F80" s="68"/>
      <c r="G80" s="64"/>
      <c r="H80" s="69"/>
      <c r="I80" s="68"/>
      <c r="J80" s="68"/>
      <c r="K80" s="68"/>
      <c r="L80" s="68"/>
      <c r="M80" s="64"/>
      <c r="N80" s="3">
        <f t="shared" si="13"/>
        <v>0</v>
      </c>
    </row>
    <row r="81" spans="1:14" s="3" customFormat="1" ht="12.75">
      <c r="A81" s="54"/>
      <c r="B81" s="67"/>
      <c r="C81" s="109" t="s">
        <v>118</v>
      </c>
      <c r="D81" s="70"/>
      <c r="E81" s="70"/>
      <c r="F81" s="70"/>
      <c r="G81" s="65"/>
      <c r="H81" s="71"/>
      <c r="I81" s="70"/>
      <c r="J81" s="70"/>
      <c r="K81" s="70"/>
      <c r="L81" s="70"/>
      <c r="M81" s="65"/>
      <c r="N81" s="3">
        <f t="shared" si="13"/>
        <v>0</v>
      </c>
    </row>
    <row r="82" spans="1:14" s="3" customFormat="1" ht="12.75">
      <c r="A82" s="25"/>
      <c r="B82" s="39" t="s">
        <v>34</v>
      </c>
      <c r="C82" s="102" t="s">
        <v>447</v>
      </c>
      <c r="D82" s="16">
        <f aca="true" t="shared" si="15" ref="D82:D87">M82/3</f>
        <v>12027</v>
      </c>
      <c r="E82" s="16">
        <f aca="true" t="shared" si="16" ref="E82:F87">D82</f>
        <v>12027</v>
      </c>
      <c r="F82" s="16">
        <f t="shared" si="16"/>
        <v>12027</v>
      </c>
      <c r="G82" s="23">
        <f aca="true" t="shared" si="17" ref="G82:G92">SUM(D82:F82)</f>
        <v>36081</v>
      </c>
      <c r="H82" s="46">
        <v>7956</v>
      </c>
      <c r="I82" s="46">
        <f aca="true" t="shared" si="18" ref="I82:I87">81000/(4*6)+500*12</f>
        <v>9375</v>
      </c>
      <c r="J82" s="46">
        <f aca="true" t="shared" si="19" ref="J82:J87">I82</f>
        <v>9375</v>
      </c>
      <c r="K82" s="46">
        <f aca="true" t="shared" si="20" ref="K82:K87">I82</f>
        <v>9375</v>
      </c>
      <c r="L82" s="46"/>
      <c r="M82" s="23">
        <f aca="true" t="shared" si="21" ref="M82:M92">SUM(H82:L82)</f>
        <v>36081</v>
      </c>
      <c r="N82" s="3">
        <f t="shared" si="13"/>
        <v>0</v>
      </c>
    </row>
    <row r="83" spans="1:14" s="3" customFormat="1" ht="12.75">
      <c r="A83" s="25"/>
      <c r="B83" s="39" t="s">
        <v>35</v>
      </c>
      <c r="C83" s="102" t="s">
        <v>448</v>
      </c>
      <c r="D83" s="16">
        <f t="shared" si="15"/>
        <v>12027</v>
      </c>
      <c r="E83" s="16">
        <f t="shared" si="16"/>
        <v>12027</v>
      </c>
      <c r="F83" s="16">
        <f t="shared" si="16"/>
        <v>12027</v>
      </c>
      <c r="G83" s="23">
        <f t="shared" si="17"/>
        <v>36081</v>
      </c>
      <c r="H83" s="46">
        <v>7956</v>
      </c>
      <c r="I83" s="46">
        <f t="shared" si="18"/>
        <v>9375</v>
      </c>
      <c r="J83" s="46">
        <f t="shared" si="19"/>
        <v>9375</v>
      </c>
      <c r="K83" s="46">
        <f t="shared" si="20"/>
        <v>9375</v>
      </c>
      <c r="L83" s="46"/>
      <c r="M83" s="23">
        <f t="shared" si="21"/>
        <v>36081</v>
      </c>
      <c r="N83" s="3">
        <f t="shared" si="13"/>
        <v>0</v>
      </c>
    </row>
    <row r="84" spans="1:14" s="3" customFormat="1" ht="12.75">
      <c r="A84" s="25"/>
      <c r="B84" s="39" t="s">
        <v>36</v>
      </c>
      <c r="C84" s="102" t="s">
        <v>449</v>
      </c>
      <c r="D84" s="16">
        <f t="shared" si="15"/>
        <v>12027</v>
      </c>
      <c r="E84" s="16">
        <f t="shared" si="16"/>
        <v>12027</v>
      </c>
      <c r="F84" s="16">
        <f t="shared" si="16"/>
        <v>12027</v>
      </c>
      <c r="G84" s="23">
        <f t="shared" si="17"/>
        <v>36081</v>
      </c>
      <c r="H84" s="46">
        <v>7956</v>
      </c>
      <c r="I84" s="46">
        <f t="shared" si="18"/>
        <v>9375</v>
      </c>
      <c r="J84" s="46">
        <f t="shared" si="19"/>
        <v>9375</v>
      </c>
      <c r="K84" s="46">
        <f t="shared" si="20"/>
        <v>9375</v>
      </c>
      <c r="L84" s="46"/>
      <c r="M84" s="23">
        <f t="shared" si="21"/>
        <v>36081</v>
      </c>
      <c r="N84" s="3">
        <f t="shared" si="13"/>
        <v>0</v>
      </c>
    </row>
    <row r="85" spans="1:14" s="3" customFormat="1" ht="12.75">
      <c r="A85" s="25"/>
      <c r="B85" s="39" t="s">
        <v>165</v>
      </c>
      <c r="C85" s="102" t="s">
        <v>450</v>
      </c>
      <c r="D85" s="16">
        <f t="shared" si="15"/>
        <v>12027</v>
      </c>
      <c r="E85" s="16">
        <f t="shared" si="16"/>
        <v>12027</v>
      </c>
      <c r="F85" s="16">
        <f t="shared" si="16"/>
        <v>12027</v>
      </c>
      <c r="G85" s="23">
        <f t="shared" si="17"/>
        <v>36081</v>
      </c>
      <c r="H85" s="46">
        <v>7956</v>
      </c>
      <c r="I85" s="46">
        <f t="shared" si="18"/>
        <v>9375</v>
      </c>
      <c r="J85" s="46">
        <f t="shared" si="19"/>
        <v>9375</v>
      </c>
      <c r="K85" s="46">
        <f t="shared" si="20"/>
        <v>9375</v>
      </c>
      <c r="L85" s="46"/>
      <c r="M85" s="23">
        <f t="shared" si="21"/>
        <v>36081</v>
      </c>
      <c r="N85" s="3">
        <f t="shared" si="13"/>
        <v>0</v>
      </c>
    </row>
    <row r="86" spans="1:14" s="3" customFormat="1" ht="12.75">
      <c r="A86" s="25"/>
      <c r="B86" s="39" t="s">
        <v>215</v>
      </c>
      <c r="C86" s="102" t="s">
        <v>451</v>
      </c>
      <c r="D86" s="16">
        <f t="shared" si="15"/>
        <v>12027</v>
      </c>
      <c r="E86" s="16">
        <f t="shared" si="16"/>
        <v>12027</v>
      </c>
      <c r="F86" s="16">
        <f t="shared" si="16"/>
        <v>12027</v>
      </c>
      <c r="G86" s="23">
        <f t="shared" si="17"/>
        <v>36081</v>
      </c>
      <c r="H86" s="46">
        <v>7956</v>
      </c>
      <c r="I86" s="46">
        <f t="shared" si="18"/>
        <v>9375</v>
      </c>
      <c r="J86" s="46">
        <f t="shared" si="19"/>
        <v>9375</v>
      </c>
      <c r="K86" s="46">
        <f t="shared" si="20"/>
        <v>9375</v>
      </c>
      <c r="L86" s="46"/>
      <c r="M86" s="23">
        <f t="shared" si="21"/>
        <v>36081</v>
      </c>
      <c r="N86" s="3">
        <f t="shared" si="13"/>
        <v>0</v>
      </c>
    </row>
    <row r="87" spans="1:14" s="3" customFormat="1" ht="12.75">
      <c r="A87" s="25"/>
      <c r="B87" s="39" t="s">
        <v>216</v>
      </c>
      <c r="C87" s="102" t="s">
        <v>452</v>
      </c>
      <c r="D87" s="16">
        <f t="shared" si="15"/>
        <v>12027</v>
      </c>
      <c r="E87" s="16">
        <f t="shared" si="16"/>
        <v>12027</v>
      </c>
      <c r="F87" s="16">
        <f t="shared" si="16"/>
        <v>12027</v>
      </c>
      <c r="G87" s="23">
        <f t="shared" si="17"/>
        <v>36081</v>
      </c>
      <c r="H87" s="46">
        <v>7956</v>
      </c>
      <c r="I87" s="46">
        <f t="shared" si="18"/>
        <v>9375</v>
      </c>
      <c r="J87" s="46">
        <f t="shared" si="19"/>
        <v>9375</v>
      </c>
      <c r="K87" s="46">
        <f t="shared" si="20"/>
        <v>9375</v>
      </c>
      <c r="L87" s="46"/>
      <c r="M87" s="23">
        <f t="shared" si="21"/>
        <v>36081</v>
      </c>
      <c r="N87" s="3">
        <f t="shared" si="13"/>
        <v>0</v>
      </c>
    </row>
    <row r="88" spans="1:14" s="3" customFormat="1" ht="12.75">
      <c r="A88" s="25"/>
      <c r="B88" s="39" t="s">
        <v>217</v>
      </c>
      <c r="C88" s="102" t="s">
        <v>343</v>
      </c>
      <c r="D88" s="16"/>
      <c r="E88" s="16"/>
      <c r="F88" s="16">
        <f>'DP1'!E126</f>
        <v>102100</v>
      </c>
      <c r="G88" s="23">
        <f t="shared" si="17"/>
        <v>102100</v>
      </c>
      <c r="H88" s="46"/>
      <c r="I88" s="46">
        <f>0.5*G88</f>
        <v>51050</v>
      </c>
      <c r="J88" s="46">
        <f>0.25*G88</f>
        <v>25525</v>
      </c>
      <c r="K88" s="46">
        <f>J88</f>
        <v>25525</v>
      </c>
      <c r="L88" s="46"/>
      <c r="M88" s="23">
        <f t="shared" si="21"/>
        <v>102100</v>
      </c>
      <c r="N88" s="3">
        <f t="shared" si="13"/>
        <v>0</v>
      </c>
    </row>
    <row r="89" spans="1:14" s="3" customFormat="1" ht="12.75">
      <c r="A89" s="25"/>
      <c r="B89" s="39" t="s">
        <v>293</v>
      </c>
      <c r="C89" s="102" t="s">
        <v>344</v>
      </c>
      <c r="D89" s="16"/>
      <c r="E89" s="16"/>
      <c r="F89" s="16">
        <f>'DP2'!E135</f>
        <v>249400</v>
      </c>
      <c r="G89" s="23">
        <f t="shared" si="17"/>
        <v>249400</v>
      </c>
      <c r="H89" s="46"/>
      <c r="I89" s="46">
        <f>0.5*G89</f>
        <v>124700</v>
      </c>
      <c r="J89" s="46">
        <f>0.25*G89</f>
        <v>62350</v>
      </c>
      <c r="K89" s="46">
        <f>J89</f>
        <v>62350</v>
      </c>
      <c r="L89" s="46"/>
      <c r="M89" s="23">
        <f t="shared" si="21"/>
        <v>249400</v>
      </c>
      <c r="N89" s="3">
        <f t="shared" si="13"/>
        <v>0</v>
      </c>
    </row>
    <row r="90" spans="1:14" s="3" customFormat="1" ht="12.75">
      <c r="A90" s="25"/>
      <c r="B90" s="39" t="s">
        <v>294</v>
      </c>
      <c r="C90" s="102" t="s">
        <v>345</v>
      </c>
      <c r="D90" s="16"/>
      <c r="E90" s="16"/>
      <c r="F90" s="16">
        <f>'DP3'!E134</f>
        <v>308400</v>
      </c>
      <c r="G90" s="23">
        <f t="shared" si="17"/>
        <v>308400</v>
      </c>
      <c r="H90" s="46"/>
      <c r="I90" s="46">
        <f>0.5*G90</f>
        <v>154200</v>
      </c>
      <c r="J90" s="46">
        <f>0.25*G90</f>
        <v>77100</v>
      </c>
      <c r="K90" s="46">
        <f>J90</f>
        <v>77100</v>
      </c>
      <c r="L90" s="46"/>
      <c r="M90" s="23">
        <f t="shared" si="21"/>
        <v>308400</v>
      </c>
      <c r="N90" s="3">
        <f t="shared" si="13"/>
        <v>0</v>
      </c>
    </row>
    <row r="91" spans="1:14" s="3" customFormat="1" ht="25.5">
      <c r="A91" s="25"/>
      <c r="B91" s="39" t="s">
        <v>295</v>
      </c>
      <c r="C91" s="102" t="s">
        <v>599</v>
      </c>
      <c r="D91" s="16"/>
      <c r="E91" s="16"/>
      <c r="F91" s="16"/>
      <c r="G91" s="23">
        <f t="shared" si="17"/>
        <v>0</v>
      </c>
      <c r="H91" s="46"/>
      <c r="I91" s="16">
        <f>G91/3</f>
        <v>0</v>
      </c>
      <c r="J91" s="16">
        <f>I91</f>
        <v>0</v>
      </c>
      <c r="K91" s="16">
        <f>J91</f>
        <v>0</v>
      </c>
      <c r="L91" s="16"/>
      <c r="M91" s="23">
        <f t="shared" si="21"/>
        <v>0</v>
      </c>
      <c r="N91" s="3">
        <f t="shared" si="13"/>
        <v>0</v>
      </c>
    </row>
    <row r="92" spans="1:14" s="3" customFormat="1" ht="12.75" customHeight="1">
      <c r="A92" s="25"/>
      <c r="B92" s="39" t="s">
        <v>296</v>
      </c>
      <c r="C92" s="102" t="s">
        <v>222</v>
      </c>
      <c r="D92" s="16">
        <v>25000</v>
      </c>
      <c r="E92" s="16">
        <f>D92</f>
        <v>25000</v>
      </c>
      <c r="F92" s="16">
        <f>E92</f>
        <v>25000</v>
      </c>
      <c r="G92" s="23">
        <f t="shared" si="17"/>
        <v>75000</v>
      </c>
      <c r="H92" s="46"/>
      <c r="I92" s="16">
        <f>G92/3</f>
        <v>25000</v>
      </c>
      <c r="J92" s="16">
        <f>I92</f>
        <v>25000</v>
      </c>
      <c r="K92" s="16">
        <f>J92</f>
        <v>25000</v>
      </c>
      <c r="L92" s="16"/>
      <c r="M92" s="23">
        <f t="shared" si="21"/>
        <v>75000</v>
      </c>
      <c r="N92" s="3">
        <f t="shared" si="13"/>
        <v>0</v>
      </c>
    </row>
    <row r="93" spans="1:14" s="3" customFormat="1" ht="12.75">
      <c r="A93" s="25"/>
      <c r="B93" s="39" t="s">
        <v>37</v>
      </c>
      <c r="C93" s="102" t="s">
        <v>138</v>
      </c>
      <c r="D93" s="17">
        <f aca="true" t="shared" si="22" ref="D93:M93">SUM(D82:D92)</f>
        <v>97162</v>
      </c>
      <c r="E93" s="17">
        <f t="shared" si="22"/>
        <v>97162</v>
      </c>
      <c r="F93" s="17">
        <f t="shared" si="22"/>
        <v>757062</v>
      </c>
      <c r="G93" s="17">
        <f t="shared" si="22"/>
        <v>951386</v>
      </c>
      <c r="H93" s="17">
        <f t="shared" si="22"/>
        <v>47736</v>
      </c>
      <c r="I93" s="17">
        <f t="shared" si="22"/>
        <v>411200</v>
      </c>
      <c r="J93" s="17">
        <f t="shared" si="22"/>
        <v>246225</v>
      </c>
      <c r="K93" s="17">
        <f t="shared" si="22"/>
        <v>246225</v>
      </c>
      <c r="L93" s="17">
        <f t="shared" si="22"/>
        <v>0</v>
      </c>
      <c r="M93" s="17">
        <f t="shared" si="22"/>
        <v>951386</v>
      </c>
      <c r="N93" s="3">
        <f t="shared" si="13"/>
        <v>0</v>
      </c>
    </row>
    <row r="94" spans="1:14" s="3" customFormat="1" ht="12.75">
      <c r="A94" s="25"/>
      <c r="B94" s="40" t="s">
        <v>38</v>
      </c>
      <c r="C94" s="106" t="s">
        <v>126</v>
      </c>
      <c r="D94" s="16"/>
      <c r="E94" s="16"/>
      <c r="F94" s="16"/>
      <c r="G94" s="23"/>
      <c r="H94" s="46"/>
      <c r="I94" s="16"/>
      <c r="J94" s="16"/>
      <c r="K94" s="16"/>
      <c r="L94" s="16"/>
      <c r="M94" s="23"/>
      <c r="N94" s="3">
        <f t="shared" si="13"/>
        <v>0</v>
      </c>
    </row>
    <row r="95" spans="1:14" s="3" customFormat="1" ht="13.5" thickBot="1">
      <c r="A95" s="25"/>
      <c r="B95" s="39" t="s">
        <v>39</v>
      </c>
      <c r="C95" s="95"/>
      <c r="D95" s="16"/>
      <c r="E95" s="16"/>
      <c r="F95" s="16"/>
      <c r="G95" s="23">
        <f>SUM(D95:F95)</f>
        <v>0</v>
      </c>
      <c r="H95" s="46"/>
      <c r="I95" s="46"/>
      <c r="J95" s="16"/>
      <c r="K95" s="16"/>
      <c r="L95" s="16"/>
      <c r="M95" s="23">
        <f>SUM(H95:L95)</f>
        <v>0</v>
      </c>
      <c r="N95" s="3">
        <f t="shared" si="13"/>
        <v>0</v>
      </c>
    </row>
    <row r="96" ht="15">
      <c r="N96" s="3">
        <f t="shared" si="13"/>
        <v>0</v>
      </c>
    </row>
    <row r="97" spans="1:14" s="3" customFormat="1" ht="12.75">
      <c r="A97" s="25"/>
      <c r="B97" s="39" t="s">
        <v>42</v>
      </c>
      <c r="C97" s="102" t="s">
        <v>138</v>
      </c>
      <c r="D97" s="17">
        <f aca="true" t="shared" si="23" ref="D97:M97">SUM(D95:D96)</f>
        <v>0</v>
      </c>
      <c r="E97" s="17">
        <f t="shared" si="23"/>
        <v>0</v>
      </c>
      <c r="F97" s="17">
        <f t="shared" si="23"/>
        <v>0</v>
      </c>
      <c r="G97" s="17">
        <f t="shared" si="23"/>
        <v>0</v>
      </c>
      <c r="H97" s="17">
        <f t="shared" si="23"/>
        <v>0</v>
      </c>
      <c r="I97" s="17">
        <f t="shared" si="23"/>
        <v>0</v>
      </c>
      <c r="J97" s="17">
        <f t="shared" si="23"/>
        <v>0</v>
      </c>
      <c r="K97" s="17">
        <f t="shared" si="23"/>
        <v>0</v>
      </c>
      <c r="L97" s="17">
        <f t="shared" si="23"/>
        <v>0</v>
      </c>
      <c r="M97" s="17">
        <f t="shared" si="23"/>
        <v>0</v>
      </c>
      <c r="N97" s="3">
        <f t="shared" si="13"/>
        <v>0</v>
      </c>
    </row>
    <row r="98" spans="1:14" s="3" customFormat="1" ht="12.75">
      <c r="A98" s="35"/>
      <c r="B98" s="36">
        <v>2999</v>
      </c>
      <c r="C98" s="107" t="s">
        <v>29</v>
      </c>
      <c r="D98" s="17">
        <f aca="true" t="shared" si="24" ref="D98:M98">+D79+D93+D97</f>
        <v>97162</v>
      </c>
      <c r="E98" s="17">
        <f t="shared" si="24"/>
        <v>97162</v>
      </c>
      <c r="F98" s="17">
        <f t="shared" si="24"/>
        <v>757062</v>
      </c>
      <c r="G98" s="17">
        <f t="shared" si="24"/>
        <v>951386</v>
      </c>
      <c r="H98" s="17">
        <f t="shared" si="24"/>
        <v>47736</v>
      </c>
      <c r="I98" s="17">
        <f t="shared" si="24"/>
        <v>411200</v>
      </c>
      <c r="J98" s="17">
        <f t="shared" si="24"/>
        <v>246225</v>
      </c>
      <c r="K98" s="17">
        <f t="shared" si="24"/>
        <v>246225</v>
      </c>
      <c r="L98" s="17">
        <f t="shared" si="24"/>
        <v>0</v>
      </c>
      <c r="M98" s="17">
        <f t="shared" si="24"/>
        <v>951386</v>
      </c>
      <c r="N98" s="3">
        <f t="shared" si="13"/>
        <v>0</v>
      </c>
    </row>
    <row r="99" spans="1:14" s="3" customFormat="1" ht="12.75">
      <c r="A99" s="84">
        <v>30</v>
      </c>
      <c r="B99" s="85" t="s">
        <v>43</v>
      </c>
      <c r="C99" s="110"/>
      <c r="D99" s="77"/>
      <c r="E99" s="77"/>
      <c r="F99" s="77"/>
      <c r="G99" s="78"/>
      <c r="H99" s="79"/>
      <c r="I99" s="77"/>
      <c r="J99" s="77"/>
      <c r="K99" s="77"/>
      <c r="L99" s="77"/>
      <c r="M99" s="82"/>
      <c r="N99" s="3">
        <f t="shared" si="13"/>
        <v>0</v>
      </c>
    </row>
    <row r="100" spans="1:14" s="3" customFormat="1" ht="12.75">
      <c r="A100" s="22"/>
      <c r="B100" s="76" t="s">
        <v>44</v>
      </c>
      <c r="C100" s="99" t="s">
        <v>119</v>
      </c>
      <c r="D100" s="77"/>
      <c r="E100" s="77"/>
      <c r="F100" s="77"/>
      <c r="G100" s="78"/>
      <c r="H100" s="79"/>
      <c r="I100" s="77"/>
      <c r="J100" s="77"/>
      <c r="K100" s="77"/>
      <c r="L100" s="77"/>
      <c r="M100" s="82"/>
      <c r="N100" s="3">
        <f t="shared" si="13"/>
        <v>0</v>
      </c>
    </row>
    <row r="101" spans="1:14" s="3" customFormat="1" ht="12.75">
      <c r="A101" s="54"/>
      <c r="B101" s="55"/>
      <c r="C101" s="100" t="s">
        <v>120</v>
      </c>
      <c r="D101" s="56"/>
      <c r="E101" s="56"/>
      <c r="F101" s="56"/>
      <c r="G101" s="57"/>
      <c r="H101" s="58"/>
      <c r="I101" s="56"/>
      <c r="J101" s="56"/>
      <c r="K101" s="56"/>
      <c r="L101" s="56"/>
      <c r="M101" s="65"/>
      <c r="N101" s="3">
        <f t="shared" si="13"/>
        <v>0</v>
      </c>
    </row>
    <row r="102" spans="1:14" s="3" customFormat="1" ht="12.75">
      <c r="A102" s="25"/>
      <c r="B102" s="26" t="s">
        <v>45</v>
      </c>
      <c r="C102" s="111"/>
      <c r="D102" s="16"/>
      <c r="E102" s="16"/>
      <c r="F102" s="16"/>
      <c r="G102" s="23">
        <f>SUM(D102:F102)</f>
        <v>0</v>
      </c>
      <c r="H102" s="46"/>
      <c r="I102" s="16"/>
      <c r="J102" s="16"/>
      <c r="K102" s="16"/>
      <c r="L102" s="16"/>
      <c r="M102" s="23">
        <f>SUM(H102:L102)</f>
        <v>0</v>
      </c>
      <c r="N102" s="3">
        <f t="shared" si="13"/>
        <v>0</v>
      </c>
    </row>
    <row r="103" spans="1:14" s="3" customFormat="1" ht="12.75">
      <c r="A103" s="25"/>
      <c r="B103" s="26" t="s">
        <v>46</v>
      </c>
      <c r="C103" s="111"/>
      <c r="D103" s="16"/>
      <c r="E103" s="16"/>
      <c r="F103" s="16"/>
      <c r="G103" s="23">
        <f>SUM(D103:F103)</f>
        <v>0</v>
      </c>
      <c r="H103" s="46"/>
      <c r="I103" s="16"/>
      <c r="J103" s="16"/>
      <c r="K103" s="16"/>
      <c r="L103" s="16"/>
      <c r="M103" s="23">
        <f>SUM(H103:L103)</f>
        <v>0</v>
      </c>
      <c r="N103" s="3">
        <f t="shared" si="13"/>
        <v>0</v>
      </c>
    </row>
    <row r="104" spans="1:14" s="3" customFormat="1" ht="12.75">
      <c r="A104" s="25"/>
      <c r="B104" s="39" t="s">
        <v>47</v>
      </c>
      <c r="C104" s="102" t="s">
        <v>138</v>
      </c>
      <c r="D104" s="17">
        <f aca="true" t="shared" si="25" ref="D104:M104">SUM(D102:D103)</f>
        <v>0</v>
      </c>
      <c r="E104" s="17">
        <f t="shared" si="25"/>
        <v>0</v>
      </c>
      <c r="F104" s="17">
        <f t="shared" si="25"/>
        <v>0</v>
      </c>
      <c r="G104" s="23">
        <f t="shared" si="25"/>
        <v>0</v>
      </c>
      <c r="H104" s="47">
        <f t="shared" si="25"/>
        <v>0</v>
      </c>
      <c r="I104" s="17">
        <f t="shared" si="25"/>
        <v>0</v>
      </c>
      <c r="J104" s="17">
        <f t="shared" si="25"/>
        <v>0</v>
      </c>
      <c r="K104" s="17">
        <f t="shared" si="25"/>
        <v>0</v>
      </c>
      <c r="L104" s="17">
        <f t="shared" si="25"/>
        <v>0</v>
      </c>
      <c r="M104" s="23">
        <f t="shared" si="25"/>
        <v>0</v>
      </c>
      <c r="N104" s="3">
        <f t="shared" si="13"/>
        <v>0</v>
      </c>
    </row>
    <row r="105" spans="1:14" s="3" customFormat="1" ht="12.75">
      <c r="A105" s="59"/>
      <c r="B105" s="66" t="s">
        <v>48</v>
      </c>
      <c r="C105" s="104" t="s">
        <v>105</v>
      </c>
      <c r="D105" s="61"/>
      <c r="E105" s="61"/>
      <c r="F105" s="61"/>
      <c r="G105" s="62"/>
      <c r="H105" s="63"/>
      <c r="I105" s="61"/>
      <c r="J105" s="61"/>
      <c r="K105" s="61"/>
      <c r="L105" s="61"/>
      <c r="M105" s="64"/>
      <c r="N105" s="3">
        <f t="shared" si="13"/>
        <v>0</v>
      </c>
    </row>
    <row r="106" spans="1:14" s="3" customFormat="1" ht="12.75">
      <c r="A106" s="54"/>
      <c r="B106" s="67"/>
      <c r="C106" s="109" t="s">
        <v>106</v>
      </c>
      <c r="D106" s="56"/>
      <c r="E106" s="56"/>
      <c r="F106" s="56"/>
      <c r="G106" s="57"/>
      <c r="H106" s="58"/>
      <c r="I106" s="56"/>
      <c r="J106" s="56"/>
      <c r="K106" s="56"/>
      <c r="L106" s="56"/>
      <c r="M106" s="65"/>
      <c r="N106" s="3">
        <f t="shared" si="13"/>
        <v>0</v>
      </c>
    </row>
    <row r="107" spans="1:14" s="3" customFormat="1" ht="38.25">
      <c r="A107" s="25"/>
      <c r="B107" s="39" t="s">
        <v>49</v>
      </c>
      <c r="C107" s="102" t="s">
        <v>598</v>
      </c>
      <c r="D107" s="173">
        <f>6*5000</f>
        <v>30000</v>
      </c>
      <c r="E107" s="15"/>
      <c r="F107" s="15"/>
      <c r="G107" s="23">
        <f aca="true" t="shared" si="26" ref="G107:G114">SUM(D107:F107)</f>
        <v>30000</v>
      </c>
      <c r="H107" s="46"/>
      <c r="J107" s="16">
        <f>G107</f>
        <v>30000</v>
      </c>
      <c r="K107" s="16"/>
      <c r="L107" s="16"/>
      <c r="M107" s="23">
        <f aca="true" t="shared" si="27" ref="M107:M114">SUM(H107:L107)</f>
        <v>30000</v>
      </c>
      <c r="N107" s="3">
        <f aca="true" t="shared" si="28" ref="N107:N118">G107-M107</f>
        <v>0</v>
      </c>
    </row>
    <row r="108" spans="1:14" s="3" customFormat="1" ht="38.25">
      <c r="A108" s="25"/>
      <c r="B108" s="39" t="s">
        <v>92</v>
      </c>
      <c r="C108" s="102" t="s">
        <v>600</v>
      </c>
      <c r="D108" s="16">
        <f>6*5000</f>
        <v>30000</v>
      </c>
      <c r="E108" s="16"/>
      <c r="F108" s="15"/>
      <c r="G108" s="23">
        <f t="shared" si="26"/>
        <v>30000</v>
      </c>
      <c r="H108" s="46"/>
      <c r="I108" s="46"/>
      <c r="J108" s="16">
        <f>G108</f>
        <v>30000</v>
      </c>
      <c r="K108" s="16"/>
      <c r="L108" s="16"/>
      <c r="M108" s="23">
        <f t="shared" si="27"/>
        <v>30000</v>
      </c>
      <c r="N108" s="3">
        <f t="shared" si="28"/>
        <v>0</v>
      </c>
    </row>
    <row r="109" spans="1:14" s="3" customFormat="1" ht="38.25">
      <c r="A109" s="25"/>
      <c r="B109" s="39" t="s">
        <v>93</v>
      </c>
      <c r="C109" s="102" t="s">
        <v>284</v>
      </c>
      <c r="D109" s="16">
        <v>35000</v>
      </c>
      <c r="E109" s="16"/>
      <c r="F109" s="15"/>
      <c r="G109" s="23">
        <f t="shared" si="26"/>
        <v>35000</v>
      </c>
      <c r="H109" s="46"/>
      <c r="I109" s="16">
        <v>5000</v>
      </c>
      <c r="J109" s="16">
        <v>15000</v>
      </c>
      <c r="K109" s="16">
        <f>J109</f>
        <v>15000</v>
      </c>
      <c r="L109" s="16"/>
      <c r="M109" s="23">
        <f t="shared" si="27"/>
        <v>35000</v>
      </c>
      <c r="N109" s="3">
        <f t="shared" si="28"/>
        <v>0</v>
      </c>
    </row>
    <row r="110" spans="1:14" s="3" customFormat="1" ht="25.5">
      <c r="A110" s="25"/>
      <c r="B110" s="39" t="s">
        <v>203</v>
      </c>
      <c r="C110" s="102" t="s">
        <v>630</v>
      </c>
      <c r="D110" s="16">
        <v>12000</v>
      </c>
      <c r="E110" s="16"/>
      <c r="F110" s="15"/>
      <c r="G110" s="23">
        <f>SUM(D110:F110)</f>
        <v>12000</v>
      </c>
      <c r="H110" s="46"/>
      <c r="I110" s="16">
        <f>G110</f>
        <v>12000</v>
      </c>
      <c r="J110" s="16"/>
      <c r="K110" s="16"/>
      <c r="L110" s="16"/>
      <c r="M110" s="23">
        <f t="shared" si="27"/>
        <v>12000</v>
      </c>
      <c r="N110" s="3">
        <f t="shared" si="28"/>
        <v>0</v>
      </c>
    </row>
    <row r="111" spans="1:14" s="3" customFormat="1" ht="25.5">
      <c r="A111" s="25"/>
      <c r="B111" s="39" t="s">
        <v>204</v>
      </c>
      <c r="C111" s="102" t="s">
        <v>617</v>
      </c>
      <c r="D111" s="16">
        <v>42000</v>
      </c>
      <c r="E111" s="16"/>
      <c r="F111" s="15"/>
      <c r="G111" s="23">
        <f t="shared" si="26"/>
        <v>42000</v>
      </c>
      <c r="H111" s="46"/>
      <c r="I111" s="16">
        <f>G111</f>
        <v>42000</v>
      </c>
      <c r="J111" s="16"/>
      <c r="K111" s="16"/>
      <c r="L111" s="16"/>
      <c r="M111" s="23">
        <f t="shared" si="27"/>
        <v>42000</v>
      </c>
      <c r="N111" s="3">
        <f t="shared" si="28"/>
        <v>0</v>
      </c>
    </row>
    <row r="112" spans="1:14" s="3" customFormat="1" ht="38.25">
      <c r="A112" s="25"/>
      <c r="B112" s="39" t="s">
        <v>214</v>
      </c>
      <c r="C112" s="102" t="s">
        <v>569</v>
      </c>
      <c r="D112" s="46">
        <f>18621.62+33496.42</f>
        <v>52118.03999999999</v>
      </c>
      <c r="E112" s="15"/>
      <c r="F112" s="15"/>
      <c r="G112" s="23">
        <f>SUM(D112:F112)</f>
        <v>52118.03999999999</v>
      </c>
      <c r="H112" s="46">
        <f>G112</f>
        <v>52118.03999999999</v>
      </c>
      <c r="I112" s="16"/>
      <c r="J112" s="16"/>
      <c r="K112" s="16"/>
      <c r="L112" s="16"/>
      <c r="M112" s="23">
        <f t="shared" si="27"/>
        <v>52118.03999999999</v>
      </c>
      <c r="N112" s="3">
        <f t="shared" si="28"/>
        <v>0</v>
      </c>
    </row>
    <row r="113" spans="1:14" s="3" customFormat="1" ht="51">
      <c r="A113" s="25"/>
      <c r="B113" s="39" t="s">
        <v>593</v>
      </c>
      <c r="C113" s="102" t="s">
        <v>615</v>
      </c>
      <c r="D113" s="16"/>
      <c r="E113" s="3">
        <v>34000</v>
      </c>
      <c r="F113" s="15"/>
      <c r="G113" s="23">
        <f>SUM(D113:F113)</f>
        <v>34000</v>
      </c>
      <c r="H113" s="46"/>
      <c r="I113" s="16">
        <f>G113</f>
        <v>34000</v>
      </c>
      <c r="J113" s="16"/>
      <c r="K113" s="16"/>
      <c r="L113" s="16"/>
      <c r="M113" s="23">
        <f t="shared" si="27"/>
        <v>34000</v>
      </c>
      <c r="N113" s="3">
        <f t="shared" si="28"/>
        <v>0</v>
      </c>
    </row>
    <row r="114" spans="1:14" s="3" customFormat="1" ht="25.5">
      <c r="A114" s="25"/>
      <c r="B114" s="39" t="s">
        <v>614</v>
      </c>
      <c r="C114" s="102" t="s">
        <v>1</v>
      </c>
      <c r="D114" s="16"/>
      <c r="E114" s="16">
        <f>6*8000</f>
        <v>48000</v>
      </c>
      <c r="F114" s="15"/>
      <c r="G114" s="23">
        <f t="shared" si="26"/>
        <v>48000</v>
      </c>
      <c r="H114" s="16"/>
      <c r="I114" s="16"/>
      <c r="J114" s="16"/>
      <c r="K114" s="3">
        <f>G114</f>
        <v>48000</v>
      </c>
      <c r="M114" s="23">
        <f t="shared" si="27"/>
        <v>48000</v>
      </c>
      <c r="N114" s="3">
        <f t="shared" si="28"/>
        <v>0</v>
      </c>
    </row>
    <row r="115" spans="1:14" s="3" customFormat="1" ht="12.75">
      <c r="A115" s="25"/>
      <c r="B115" s="39" t="s">
        <v>50</v>
      </c>
      <c r="C115" s="102" t="s">
        <v>138</v>
      </c>
      <c r="D115" s="17">
        <f>SUM(D107:D112)</f>
        <v>201118.03999999998</v>
      </c>
      <c r="E115" s="17">
        <f>SUM(E107:E114)</f>
        <v>82000</v>
      </c>
      <c r="F115" s="17">
        <f aca="true" t="shared" si="29" ref="F115:L115">SUM(F107:F114)</f>
        <v>0</v>
      </c>
      <c r="G115" s="17">
        <f>SUM(G107:G114)</f>
        <v>283118.04</v>
      </c>
      <c r="H115" s="17">
        <f>SUM(H107:H114)</f>
        <v>52118.03999999999</v>
      </c>
      <c r="I115" s="17">
        <f t="shared" si="29"/>
        <v>93000</v>
      </c>
      <c r="J115" s="17">
        <f>SUM(J107:J114)</f>
        <v>75000</v>
      </c>
      <c r="K115" s="17">
        <f t="shared" si="29"/>
        <v>63000</v>
      </c>
      <c r="L115" s="17">
        <f t="shared" si="29"/>
        <v>0</v>
      </c>
      <c r="M115" s="17">
        <f>SUM(M107:M114)</f>
        <v>283118.04</v>
      </c>
      <c r="N115" s="3">
        <f t="shared" si="28"/>
        <v>0</v>
      </c>
    </row>
    <row r="116" spans="1:14" s="3" customFormat="1" ht="12.75">
      <c r="A116" s="25"/>
      <c r="B116" s="40" t="s">
        <v>51</v>
      </c>
      <c r="C116" s="106" t="s">
        <v>94</v>
      </c>
      <c r="D116" s="15"/>
      <c r="E116" s="15"/>
      <c r="F116" s="15"/>
      <c r="G116" s="34"/>
      <c r="H116" s="27"/>
      <c r="I116" s="15"/>
      <c r="J116" s="15"/>
      <c r="K116" s="15"/>
      <c r="L116" s="15"/>
      <c r="M116" s="23"/>
      <c r="N116" s="3">
        <f t="shared" si="28"/>
        <v>0</v>
      </c>
    </row>
    <row r="117" spans="1:14" s="3" customFormat="1" ht="12.75">
      <c r="A117" s="25"/>
      <c r="B117" s="39" t="s">
        <v>52</v>
      </c>
      <c r="C117" s="111" t="s">
        <v>188</v>
      </c>
      <c r="D117" s="16">
        <f>M117/3</f>
        <v>65666.66666666667</v>
      </c>
      <c r="E117" s="16">
        <f>D117</f>
        <v>65666.66666666667</v>
      </c>
      <c r="F117" s="16">
        <f>E117</f>
        <v>65666.66666666667</v>
      </c>
      <c r="G117" s="23">
        <f aca="true" t="shared" si="30" ref="G117:G134">SUM(D117:F117)</f>
        <v>197000</v>
      </c>
      <c r="H117" s="16">
        <v>39000</v>
      </c>
      <c r="I117" s="16">
        <v>40000</v>
      </c>
      <c r="J117" s="16">
        <f>I117</f>
        <v>40000</v>
      </c>
      <c r="K117" s="16">
        <v>78000</v>
      </c>
      <c r="L117" s="16"/>
      <c r="M117" s="23">
        <f aca="true" t="shared" si="31" ref="M117:M134">SUM(H117:L117)</f>
        <v>197000</v>
      </c>
      <c r="N117" s="3">
        <f t="shared" si="28"/>
        <v>0</v>
      </c>
    </row>
    <row r="118" spans="1:14" s="179" customFormat="1" ht="25.5">
      <c r="A118" s="25"/>
      <c r="B118" s="26" t="s">
        <v>53</v>
      </c>
      <c r="C118" s="158" t="s">
        <v>327</v>
      </c>
      <c r="D118" s="16"/>
      <c r="E118" s="16"/>
      <c r="F118" s="16"/>
      <c r="G118" s="23">
        <f t="shared" si="30"/>
        <v>0</v>
      </c>
      <c r="H118" s="46"/>
      <c r="I118" s="46"/>
      <c r="J118" s="46"/>
      <c r="K118" s="46">
        <f>G118</f>
        <v>0</v>
      </c>
      <c r="L118" s="46"/>
      <c r="M118" s="23">
        <f t="shared" si="31"/>
        <v>0</v>
      </c>
      <c r="N118" s="3">
        <f t="shared" si="28"/>
        <v>0</v>
      </c>
    </row>
    <row r="119" spans="1:14" s="179" customFormat="1" ht="38.25">
      <c r="A119" s="25"/>
      <c r="B119" s="26" t="s">
        <v>189</v>
      </c>
      <c r="C119" s="158" t="s">
        <v>549</v>
      </c>
      <c r="D119" s="16"/>
      <c r="E119" s="16"/>
      <c r="F119" s="16"/>
      <c r="G119" s="23">
        <f t="shared" si="30"/>
        <v>0</v>
      </c>
      <c r="H119" s="46"/>
      <c r="I119" s="46">
        <f aca="true" t="shared" si="32" ref="I119:I124">G119</f>
        <v>0</v>
      </c>
      <c r="J119" s="46"/>
      <c r="K119" s="46"/>
      <c r="L119" s="46"/>
      <c r="M119" s="23">
        <f t="shared" si="31"/>
        <v>0</v>
      </c>
      <c r="N119" s="3"/>
    </row>
    <row r="120" spans="1:14" s="179" customFormat="1" ht="63.75">
      <c r="A120" s="25"/>
      <c r="B120" s="26" t="s">
        <v>190</v>
      </c>
      <c r="C120" s="158" t="s">
        <v>587</v>
      </c>
      <c r="D120" s="16"/>
      <c r="E120" s="16"/>
      <c r="F120" s="16"/>
      <c r="G120" s="23">
        <f t="shared" si="30"/>
        <v>0</v>
      </c>
      <c r="H120" s="46"/>
      <c r="I120" s="46">
        <f t="shared" si="32"/>
        <v>0</v>
      </c>
      <c r="J120" s="46"/>
      <c r="K120" s="46"/>
      <c r="L120" s="46"/>
      <c r="M120" s="23">
        <f t="shared" si="31"/>
        <v>0</v>
      </c>
      <c r="N120" s="3"/>
    </row>
    <row r="121" spans="1:14" s="179" customFormat="1" ht="25.5">
      <c r="A121" s="25"/>
      <c r="B121" s="26" t="s">
        <v>191</v>
      </c>
      <c r="C121" s="158" t="s">
        <v>550</v>
      </c>
      <c r="D121" s="16"/>
      <c r="E121" s="16"/>
      <c r="F121" s="16"/>
      <c r="G121" s="23">
        <f t="shared" si="30"/>
        <v>0</v>
      </c>
      <c r="H121" s="46"/>
      <c r="I121" s="46">
        <f t="shared" si="32"/>
        <v>0</v>
      </c>
      <c r="J121" s="46"/>
      <c r="K121" s="46"/>
      <c r="L121" s="46"/>
      <c r="M121" s="23">
        <f t="shared" si="31"/>
        <v>0</v>
      </c>
      <c r="N121" s="3"/>
    </row>
    <row r="122" spans="1:14" s="179" customFormat="1" ht="63.75">
      <c r="A122" s="25"/>
      <c r="B122" s="26" t="s">
        <v>192</v>
      </c>
      <c r="C122" s="111" t="s">
        <v>644</v>
      </c>
      <c r="D122" s="16"/>
      <c r="E122" s="16">
        <v>41000</v>
      </c>
      <c r="F122" s="16"/>
      <c r="G122" s="23">
        <f>SUM(D122:F122)</f>
        <v>41000</v>
      </c>
      <c r="H122" s="46"/>
      <c r="I122" s="16">
        <f t="shared" si="32"/>
        <v>41000</v>
      </c>
      <c r="J122" s="16"/>
      <c r="K122" s="16"/>
      <c r="L122" s="16"/>
      <c r="M122" s="23">
        <f t="shared" si="31"/>
        <v>41000</v>
      </c>
      <c r="N122" s="3">
        <f aca="true" t="shared" si="33" ref="N122:N155">G122-M122</f>
        <v>0</v>
      </c>
    </row>
    <row r="123" spans="1:14" s="179" customFormat="1" ht="25.5">
      <c r="A123" s="25"/>
      <c r="B123" s="26" t="s">
        <v>192</v>
      </c>
      <c r="C123" s="111" t="s">
        <v>636</v>
      </c>
      <c r="D123" s="16"/>
      <c r="E123" s="16">
        <f>6*5000</f>
        <v>30000</v>
      </c>
      <c r="F123" s="16"/>
      <c r="G123" s="23">
        <f>SUM(D123:F123)</f>
        <v>30000</v>
      </c>
      <c r="H123" s="46"/>
      <c r="I123" s="16">
        <f t="shared" si="32"/>
        <v>30000</v>
      </c>
      <c r="J123" s="16"/>
      <c r="K123" s="16"/>
      <c r="L123" s="16"/>
      <c r="M123" s="23">
        <f>SUM(H123:L123)</f>
        <v>30000</v>
      </c>
      <c r="N123" s="3">
        <f>G123-M123</f>
        <v>0</v>
      </c>
    </row>
    <row r="124" spans="1:14" s="179" customFormat="1" ht="25.5">
      <c r="A124" s="25"/>
      <c r="B124" s="26" t="s">
        <v>193</v>
      </c>
      <c r="C124" s="111" t="s">
        <v>637</v>
      </c>
      <c r="D124" s="16"/>
      <c r="E124" s="16">
        <f>4*6*500</f>
        <v>12000</v>
      </c>
      <c r="F124" s="16"/>
      <c r="G124" s="23">
        <f>SUM(D124:F124)</f>
        <v>12000</v>
      </c>
      <c r="H124" s="46"/>
      <c r="I124" s="16">
        <f t="shared" si="32"/>
        <v>12000</v>
      </c>
      <c r="J124" s="16"/>
      <c r="K124" s="16"/>
      <c r="L124" s="16"/>
      <c r="M124" s="23">
        <f>SUM(H124:L124)</f>
        <v>12000</v>
      </c>
      <c r="N124" s="3">
        <f>G124-M124</f>
        <v>0</v>
      </c>
    </row>
    <row r="125" spans="1:14" s="179" customFormat="1" ht="38.25">
      <c r="A125" s="25"/>
      <c r="B125" s="26" t="s">
        <v>194</v>
      </c>
      <c r="C125" s="111" t="s">
        <v>635</v>
      </c>
      <c r="D125" s="16"/>
      <c r="E125" s="16">
        <f>6*5000</f>
        <v>30000</v>
      </c>
      <c r="F125" s="16"/>
      <c r="G125" s="23">
        <f t="shared" si="30"/>
        <v>30000</v>
      </c>
      <c r="H125" s="46"/>
      <c r="I125" s="16"/>
      <c r="J125" s="46">
        <f>G125</f>
        <v>30000</v>
      </c>
      <c r="K125" s="16"/>
      <c r="L125" s="16"/>
      <c r="M125" s="23">
        <f t="shared" si="31"/>
        <v>30000</v>
      </c>
      <c r="N125" s="3">
        <f t="shared" si="33"/>
        <v>0</v>
      </c>
    </row>
    <row r="126" spans="1:14" s="179" customFormat="1" ht="38.25">
      <c r="A126" s="25"/>
      <c r="B126" s="26" t="s">
        <v>195</v>
      </c>
      <c r="C126" s="111" t="s">
        <v>197</v>
      </c>
      <c r="D126" s="16"/>
      <c r="E126" s="16">
        <v>45000</v>
      </c>
      <c r="F126" s="16"/>
      <c r="G126" s="23">
        <f t="shared" si="30"/>
        <v>45000</v>
      </c>
      <c r="H126" s="46"/>
      <c r="I126" s="16"/>
      <c r="J126" s="16">
        <f>G126</f>
        <v>45000</v>
      </c>
      <c r="K126" s="16"/>
      <c r="L126" s="16"/>
      <c r="M126" s="23">
        <f t="shared" si="31"/>
        <v>45000</v>
      </c>
      <c r="N126" s="3">
        <f t="shared" si="33"/>
        <v>0</v>
      </c>
    </row>
    <row r="127" spans="1:14" s="179" customFormat="1" ht="38.25">
      <c r="A127" s="25"/>
      <c r="B127" s="26" t="s">
        <v>196</v>
      </c>
      <c r="C127" s="111" t="s">
        <v>198</v>
      </c>
      <c r="D127" s="16"/>
      <c r="E127" s="16">
        <v>45000</v>
      </c>
      <c r="F127" s="16"/>
      <c r="G127" s="23">
        <f t="shared" si="30"/>
        <v>45000</v>
      </c>
      <c r="H127" s="46"/>
      <c r="J127" s="16">
        <f>G127</f>
        <v>45000</v>
      </c>
      <c r="K127" s="16"/>
      <c r="L127" s="16"/>
      <c r="M127" s="23">
        <f t="shared" si="31"/>
        <v>45000</v>
      </c>
      <c r="N127" s="3">
        <f t="shared" si="33"/>
        <v>0</v>
      </c>
    </row>
    <row r="128" spans="1:14" s="179" customFormat="1" ht="38.25">
      <c r="A128" s="25"/>
      <c r="B128" s="26" t="s">
        <v>282</v>
      </c>
      <c r="C128" s="111" t="s">
        <v>199</v>
      </c>
      <c r="D128" s="16"/>
      <c r="E128" s="16">
        <f>6*5000</f>
        <v>30000</v>
      </c>
      <c r="F128" s="16"/>
      <c r="G128" s="23">
        <f t="shared" si="30"/>
        <v>30000</v>
      </c>
      <c r="H128" s="46"/>
      <c r="I128" s="16"/>
      <c r="J128" s="16">
        <f>G128</f>
        <v>30000</v>
      </c>
      <c r="K128" s="16"/>
      <c r="L128" s="16"/>
      <c r="M128" s="23">
        <f t="shared" si="31"/>
        <v>30000</v>
      </c>
      <c r="N128" s="3">
        <f t="shared" si="33"/>
        <v>0</v>
      </c>
    </row>
    <row r="129" spans="1:14" s="179" customFormat="1" ht="38.25">
      <c r="A129" s="25"/>
      <c r="B129" s="26" t="s">
        <v>551</v>
      </c>
      <c r="C129" s="111" t="s">
        <v>200</v>
      </c>
      <c r="D129" s="16"/>
      <c r="E129" s="16">
        <v>45000</v>
      </c>
      <c r="F129" s="16"/>
      <c r="G129" s="23">
        <f t="shared" si="30"/>
        <v>45000</v>
      </c>
      <c r="H129" s="46"/>
      <c r="I129" s="16"/>
      <c r="J129" s="16"/>
      <c r="K129" s="16">
        <f>G129</f>
        <v>45000</v>
      </c>
      <c r="L129" s="16"/>
      <c r="M129" s="23">
        <f t="shared" si="31"/>
        <v>45000</v>
      </c>
      <c r="N129" s="3">
        <f t="shared" si="33"/>
        <v>0</v>
      </c>
    </row>
    <row r="130" spans="1:14" s="3" customFormat="1" ht="63.75">
      <c r="A130" s="25"/>
      <c r="B130" s="26" t="s">
        <v>552</v>
      </c>
      <c r="C130" s="111" t="s">
        <v>219</v>
      </c>
      <c r="D130" s="16"/>
      <c r="E130" s="16">
        <v>40000</v>
      </c>
      <c r="F130" s="16"/>
      <c r="G130" s="23">
        <f t="shared" si="30"/>
        <v>40000</v>
      </c>
      <c r="H130" s="46"/>
      <c r="I130" s="16"/>
      <c r="J130" s="16"/>
      <c r="K130" s="16">
        <f>G130</f>
        <v>40000</v>
      </c>
      <c r="L130" s="16"/>
      <c r="M130" s="23">
        <f t="shared" si="31"/>
        <v>40000</v>
      </c>
      <c r="N130" s="3">
        <f t="shared" si="33"/>
        <v>0</v>
      </c>
    </row>
    <row r="131" spans="1:14" s="179" customFormat="1" ht="38.25">
      <c r="A131" s="25"/>
      <c r="B131" s="26" t="s">
        <v>553</v>
      </c>
      <c r="C131" s="111" t="s">
        <v>201</v>
      </c>
      <c r="D131" s="16"/>
      <c r="E131" s="16">
        <f>6*7000</f>
        <v>42000</v>
      </c>
      <c r="F131" s="16"/>
      <c r="G131" s="23">
        <f t="shared" si="30"/>
        <v>42000</v>
      </c>
      <c r="H131" s="46"/>
      <c r="I131" s="16"/>
      <c r="J131" s="16">
        <f>G131</f>
        <v>42000</v>
      </c>
      <c r="K131" s="16"/>
      <c r="L131" s="16"/>
      <c r="M131" s="23">
        <f t="shared" si="31"/>
        <v>42000</v>
      </c>
      <c r="N131" s="3">
        <f t="shared" si="33"/>
        <v>0</v>
      </c>
    </row>
    <row r="132" spans="1:14" s="179" customFormat="1" ht="25.5">
      <c r="A132" s="25"/>
      <c r="B132" s="26" t="s">
        <v>554</v>
      </c>
      <c r="C132" s="111" t="s">
        <v>202</v>
      </c>
      <c r="D132" s="16"/>
      <c r="E132" s="16">
        <f>6*7000</f>
        <v>42000</v>
      </c>
      <c r="F132" s="16"/>
      <c r="G132" s="23">
        <f t="shared" si="30"/>
        <v>42000</v>
      </c>
      <c r="H132" s="46"/>
      <c r="I132" s="16"/>
      <c r="J132" s="16"/>
      <c r="K132" s="16">
        <f aca="true" t="shared" si="34" ref="K132:L134">G132</f>
        <v>42000</v>
      </c>
      <c r="L132" s="16">
        <f t="shared" si="34"/>
        <v>0</v>
      </c>
      <c r="M132" s="23">
        <f t="shared" si="31"/>
        <v>42000</v>
      </c>
      <c r="N132" s="179">
        <f t="shared" si="33"/>
        <v>0</v>
      </c>
    </row>
    <row r="133" spans="1:14" s="3" customFormat="1" ht="51">
      <c r="A133" s="25"/>
      <c r="B133" s="26" t="s">
        <v>626</v>
      </c>
      <c r="C133" s="102" t="s">
        <v>627</v>
      </c>
      <c r="D133" s="16"/>
      <c r="E133" s="16">
        <v>30000</v>
      </c>
      <c r="F133" s="16"/>
      <c r="G133" s="23">
        <f t="shared" si="30"/>
        <v>30000</v>
      </c>
      <c r="H133" s="46"/>
      <c r="I133" s="16"/>
      <c r="J133" s="16">
        <v>10000</v>
      </c>
      <c r="K133" s="16">
        <v>20000</v>
      </c>
      <c r="L133" s="16">
        <f t="shared" si="34"/>
        <v>0</v>
      </c>
      <c r="M133" s="23">
        <f t="shared" si="31"/>
        <v>30000</v>
      </c>
      <c r="N133" s="3">
        <f t="shared" si="33"/>
        <v>0</v>
      </c>
    </row>
    <row r="134" spans="1:14" s="179" customFormat="1" ht="38.25">
      <c r="A134" s="25"/>
      <c r="B134" s="26" t="s">
        <v>639</v>
      </c>
      <c r="C134" s="111" t="s">
        <v>2</v>
      </c>
      <c r="D134" s="16"/>
      <c r="F134" s="16">
        <f>6*6000</f>
        <v>36000</v>
      </c>
      <c r="G134" s="23">
        <f t="shared" si="30"/>
        <v>36000</v>
      </c>
      <c r="H134" s="46"/>
      <c r="I134" s="16"/>
      <c r="J134" s="16"/>
      <c r="K134" s="16">
        <f t="shared" si="34"/>
        <v>36000</v>
      </c>
      <c r="L134" s="16">
        <f t="shared" si="34"/>
        <v>0</v>
      </c>
      <c r="M134" s="23">
        <f t="shared" si="31"/>
        <v>36000</v>
      </c>
      <c r="N134" s="179">
        <f t="shared" si="33"/>
        <v>0</v>
      </c>
    </row>
    <row r="135" spans="1:14" s="3" customFormat="1" ht="12.75">
      <c r="A135" s="25"/>
      <c r="B135" s="39" t="s">
        <v>55</v>
      </c>
      <c r="C135" s="102" t="s">
        <v>138</v>
      </c>
      <c r="D135" s="17">
        <f aca="true" t="shared" si="35" ref="D135:M135">SUM(D117:D134)</f>
        <v>65666.66666666667</v>
      </c>
      <c r="E135" s="17">
        <f t="shared" si="35"/>
        <v>497666.6666666667</v>
      </c>
      <c r="F135" s="17">
        <f>SUM(F117:F134)</f>
        <v>101666.66666666667</v>
      </c>
      <c r="G135" s="17">
        <f t="shared" si="35"/>
        <v>665000</v>
      </c>
      <c r="H135" s="17">
        <f t="shared" si="35"/>
        <v>39000</v>
      </c>
      <c r="I135" s="17">
        <f t="shared" si="35"/>
        <v>123000</v>
      </c>
      <c r="J135" s="17">
        <f t="shared" si="35"/>
        <v>242000</v>
      </c>
      <c r="K135" s="17">
        <f t="shared" si="35"/>
        <v>261000</v>
      </c>
      <c r="L135" s="17">
        <f t="shared" si="35"/>
        <v>0</v>
      </c>
      <c r="M135" s="17">
        <f t="shared" si="35"/>
        <v>665000</v>
      </c>
      <c r="N135" s="3">
        <f t="shared" si="33"/>
        <v>0</v>
      </c>
    </row>
    <row r="136" spans="1:14" s="3" customFormat="1" ht="12.75">
      <c r="A136" s="35"/>
      <c r="B136" s="36">
        <v>3999</v>
      </c>
      <c r="C136" s="107" t="s">
        <v>29</v>
      </c>
      <c r="D136" s="17">
        <f aca="true" t="shared" si="36" ref="D136:M136">+D104+D115+D135</f>
        <v>266784.70666666667</v>
      </c>
      <c r="E136" s="17">
        <f t="shared" si="36"/>
        <v>579666.6666666667</v>
      </c>
      <c r="F136" s="17">
        <f t="shared" si="36"/>
        <v>101666.66666666667</v>
      </c>
      <c r="G136" s="17">
        <f t="shared" si="36"/>
        <v>948118.04</v>
      </c>
      <c r="H136" s="17">
        <f t="shared" si="36"/>
        <v>91118.04</v>
      </c>
      <c r="I136" s="17">
        <f t="shared" si="36"/>
        <v>216000</v>
      </c>
      <c r="J136" s="17">
        <f t="shared" si="36"/>
        <v>317000</v>
      </c>
      <c r="K136" s="17">
        <f t="shared" si="36"/>
        <v>324000</v>
      </c>
      <c r="L136" s="17">
        <f t="shared" si="36"/>
        <v>0</v>
      </c>
      <c r="M136" s="17">
        <f t="shared" si="36"/>
        <v>948118.04</v>
      </c>
      <c r="N136" s="3">
        <f t="shared" si="33"/>
        <v>0</v>
      </c>
    </row>
    <row r="137" spans="1:14" s="3" customFormat="1" ht="12.75">
      <c r="A137" s="80">
        <v>40</v>
      </c>
      <c r="B137" s="86" t="s">
        <v>127</v>
      </c>
      <c r="C137" s="108"/>
      <c r="D137" s="61"/>
      <c r="E137" s="61"/>
      <c r="F137" s="61"/>
      <c r="G137" s="62"/>
      <c r="H137" s="63"/>
      <c r="I137" s="61"/>
      <c r="J137" s="61"/>
      <c r="K137" s="61"/>
      <c r="L137" s="61"/>
      <c r="M137" s="64"/>
      <c r="N137" s="3">
        <f t="shared" si="33"/>
        <v>0</v>
      </c>
    </row>
    <row r="138" spans="1:14" s="3" customFormat="1" ht="12.75">
      <c r="A138" s="22"/>
      <c r="B138" s="76" t="s">
        <v>56</v>
      </c>
      <c r="C138" s="99" t="s">
        <v>103</v>
      </c>
      <c r="D138" s="81"/>
      <c r="E138" s="81"/>
      <c r="F138" s="81"/>
      <c r="G138" s="82"/>
      <c r="H138" s="83"/>
      <c r="I138" s="81"/>
      <c r="J138" s="81"/>
      <c r="K138" s="81"/>
      <c r="L138" s="81"/>
      <c r="M138" s="82"/>
      <c r="N138" s="3">
        <f t="shared" si="33"/>
        <v>0</v>
      </c>
    </row>
    <row r="139" spans="1:14" s="3" customFormat="1" ht="12.75">
      <c r="A139" s="54"/>
      <c r="B139" s="55"/>
      <c r="C139" s="100" t="s">
        <v>121</v>
      </c>
      <c r="D139" s="70"/>
      <c r="E139" s="70"/>
      <c r="F139" s="70"/>
      <c r="G139" s="65"/>
      <c r="H139" s="71"/>
      <c r="I139" s="70"/>
      <c r="J139" s="70"/>
      <c r="K139" s="70"/>
      <c r="L139" s="70"/>
      <c r="M139" s="65"/>
      <c r="N139" s="3">
        <f t="shared" si="33"/>
        <v>0</v>
      </c>
    </row>
    <row r="140" spans="1:14" s="3" customFormat="1" ht="25.5">
      <c r="A140" s="25"/>
      <c r="B140" s="26" t="s">
        <v>57</v>
      </c>
      <c r="C140" s="111" t="s">
        <v>353</v>
      </c>
      <c r="D140" s="16">
        <v>5000</v>
      </c>
      <c r="E140" s="16">
        <f aca="true" t="shared" si="37" ref="E140:F142">D140</f>
        <v>5000</v>
      </c>
      <c r="F140" s="16">
        <f t="shared" si="37"/>
        <v>5000</v>
      </c>
      <c r="G140" s="23">
        <f>SUM(D140:F140)</f>
        <v>15000</v>
      </c>
      <c r="H140" s="16">
        <v>3506.98</v>
      </c>
      <c r="I140" s="16">
        <f>(G140-H140)/3</f>
        <v>3831.0066666666667</v>
      </c>
      <c r="J140" s="16">
        <f>I140</f>
        <v>3831.0066666666667</v>
      </c>
      <c r="K140" s="16">
        <f>J140</f>
        <v>3831.0066666666667</v>
      </c>
      <c r="L140" s="16"/>
      <c r="M140" s="23">
        <f>SUM(H140:L140)</f>
        <v>15000</v>
      </c>
      <c r="N140" s="3">
        <f t="shared" si="33"/>
        <v>0</v>
      </c>
    </row>
    <row r="141" spans="1:14" s="3" customFormat="1" ht="12.75">
      <c r="A141" s="25"/>
      <c r="B141" s="26" t="s">
        <v>59</v>
      </c>
      <c r="C141" s="111" t="s">
        <v>60</v>
      </c>
      <c r="D141" s="46">
        <v>1500</v>
      </c>
      <c r="E141" s="16">
        <f t="shared" si="37"/>
        <v>1500</v>
      </c>
      <c r="F141" s="16">
        <f t="shared" si="37"/>
        <v>1500</v>
      </c>
      <c r="G141" s="23">
        <f>SUM(D141:F141)</f>
        <v>4500</v>
      </c>
      <c r="H141" s="16">
        <v>947</v>
      </c>
      <c r="I141" s="46">
        <v>500</v>
      </c>
      <c r="J141" s="16">
        <v>1500</v>
      </c>
      <c r="K141" s="16">
        <v>1553</v>
      </c>
      <c r="L141" s="16"/>
      <c r="M141" s="23">
        <f>SUM(H141:L141)</f>
        <v>4500</v>
      </c>
      <c r="N141" s="3">
        <f t="shared" si="33"/>
        <v>0</v>
      </c>
    </row>
    <row r="142" spans="1:14" s="3" customFormat="1" ht="25.5">
      <c r="A142" s="25"/>
      <c r="B142" s="26" t="s">
        <v>61</v>
      </c>
      <c r="C142" s="111" t="s">
        <v>592</v>
      </c>
      <c r="D142" s="16">
        <f>M142/3</f>
        <v>10000</v>
      </c>
      <c r="E142" s="16">
        <f t="shared" si="37"/>
        <v>10000</v>
      </c>
      <c r="F142" s="16">
        <f t="shared" si="37"/>
        <v>10000</v>
      </c>
      <c r="G142" s="23">
        <f>SUM(D142:F142)</f>
        <v>30000</v>
      </c>
      <c r="H142" s="16">
        <v>886</v>
      </c>
      <c r="I142" s="16">
        <v>25000</v>
      </c>
      <c r="J142" s="16">
        <v>4114</v>
      </c>
      <c r="K142" s="16"/>
      <c r="L142" s="16"/>
      <c r="M142" s="23">
        <f>SUM(H142:L142)</f>
        <v>30000</v>
      </c>
      <c r="N142" s="3">
        <f t="shared" si="33"/>
        <v>0</v>
      </c>
    </row>
    <row r="143" spans="1:14" s="3" customFormat="1" ht="12.75">
      <c r="A143" s="25"/>
      <c r="B143" s="39" t="s">
        <v>63</v>
      </c>
      <c r="C143" s="102" t="s">
        <v>4</v>
      </c>
      <c r="D143" s="17">
        <f>SUM(D140:D142)</f>
        <v>16500</v>
      </c>
      <c r="E143" s="17">
        <f aca="true" t="shared" si="38" ref="E143:M143">SUM(E140:E142)</f>
        <v>16500</v>
      </c>
      <c r="F143" s="17">
        <f t="shared" si="38"/>
        <v>16500</v>
      </c>
      <c r="G143" s="17">
        <f t="shared" si="38"/>
        <v>49500</v>
      </c>
      <c r="H143" s="17">
        <f t="shared" si="38"/>
        <v>5339.98</v>
      </c>
      <c r="I143" s="17">
        <f t="shared" si="38"/>
        <v>29331.006666666668</v>
      </c>
      <c r="J143" s="17">
        <f t="shared" si="38"/>
        <v>9445.006666666666</v>
      </c>
      <c r="K143" s="17">
        <f t="shared" si="38"/>
        <v>5384.006666666666</v>
      </c>
      <c r="L143" s="17">
        <f t="shared" si="38"/>
        <v>0</v>
      </c>
      <c r="M143" s="17">
        <f t="shared" si="38"/>
        <v>49500</v>
      </c>
      <c r="N143" s="3">
        <f t="shared" si="33"/>
        <v>0</v>
      </c>
    </row>
    <row r="144" spans="1:14" s="3" customFormat="1" ht="12.75">
      <c r="A144" s="59"/>
      <c r="B144" s="72">
        <v>4200</v>
      </c>
      <c r="C144" s="104" t="s">
        <v>90</v>
      </c>
      <c r="D144" s="68"/>
      <c r="E144" s="68"/>
      <c r="F144" s="68"/>
      <c r="G144" s="64"/>
      <c r="H144" s="69"/>
      <c r="I144" s="68"/>
      <c r="J144" s="68"/>
      <c r="K144" s="68"/>
      <c r="L144" s="68"/>
      <c r="M144" s="64"/>
      <c r="N144" s="3">
        <f t="shared" si="33"/>
        <v>0</v>
      </c>
    </row>
    <row r="145" spans="1:14" s="3" customFormat="1" ht="12.75">
      <c r="A145" s="54"/>
      <c r="B145" s="73"/>
      <c r="C145" s="109" t="s">
        <v>96</v>
      </c>
      <c r="D145" s="70"/>
      <c r="E145" s="70"/>
      <c r="F145" s="70"/>
      <c r="G145" s="65"/>
      <c r="H145" s="71"/>
      <c r="I145" s="70"/>
      <c r="J145" s="70"/>
      <c r="K145" s="70"/>
      <c r="L145" s="70"/>
      <c r="M145" s="65"/>
      <c r="N145" s="3">
        <f t="shared" si="33"/>
        <v>0</v>
      </c>
    </row>
    <row r="146" spans="1:14" s="3" customFormat="1" ht="25.5">
      <c r="A146" s="25"/>
      <c r="B146" s="39" t="s">
        <v>64</v>
      </c>
      <c r="C146" s="111" t="s">
        <v>591</v>
      </c>
      <c r="D146" s="16">
        <f>M146/3</f>
        <v>11553.526666666667</v>
      </c>
      <c r="E146" s="16">
        <f aca="true" t="shared" si="39" ref="E146:F148">D146</f>
        <v>11553.526666666667</v>
      </c>
      <c r="F146" s="16">
        <f t="shared" si="39"/>
        <v>11553.526666666667</v>
      </c>
      <c r="G146" s="23">
        <f>SUM(D146:F146)</f>
        <v>34660.58</v>
      </c>
      <c r="H146" s="16">
        <f>6307.35+5954.86-2700.63</f>
        <v>9561.579999999998</v>
      </c>
      <c r="I146" s="16">
        <v>20099</v>
      </c>
      <c r="J146" s="16">
        <v>5000</v>
      </c>
      <c r="K146" s="16"/>
      <c r="L146" s="16"/>
      <c r="M146" s="23">
        <f>SUM(H146:L146)</f>
        <v>34660.58</v>
      </c>
      <c r="N146" s="3">
        <f t="shared" si="33"/>
        <v>0</v>
      </c>
    </row>
    <row r="147" spans="1:14" s="3" customFormat="1" ht="12.75">
      <c r="A147" s="25"/>
      <c r="B147" s="39" t="s">
        <v>65</v>
      </c>
      <c r="C147" s="111" t="s">
        <v>590</v>
      </c>
      <c r="D147" s="16">
        <v>500</v>
      </c>
      <c r="E147" s="16">
        <v>500</v>
      </c>
      <c r="F147" s="16">
        <v>500</v>
      </c>
      <c r="G147" s="23">
        <f>SUM(D147:F147)</f>
        <v>1500</v>
      </c>
      <c r="H147" s="16"/>
      <c r="I147" s="16">
        <v>500</v>
      </c>
      <c r="J147" s="16">
        <v>500</v>
      </c>
      <c r="K147" s="16">
        <v>500</v>
      </c>
      <c r="L147" s="16"/>
      <c r="M147" s="23">
        <f>SUM(H147:L147)</f>
        <v>1500</v>
      </c>
      <c r="N147" s="3">
        <f t="shared" si="33"/>
        <v>0</v>
      </c>
    </row>
    <row r="148" spans="1:14" s="3" customFormat="1" ht="12.75">
      <c r="A148" s="25"/>
      <c r="B148" s="39" t="s">
        <v>135</v>
      </c>
      <c r="C148" s="111" t="s">
        <v>206</v>
      </c>
      <c r="D148" s="16">
        <f>M148/3</f>
        <v>166.66666666666666</v>
      </c>
      <c r="E148" s="16">
        <f t="shared" si="39"/>
        <v>166.66666666666666</v>
      </c>
      <c r="F148" s="16">
        <f t="shared" si="39"/>
        <v>166.66666666666666</v>
      </c>
      <c r="G148" s="23">
        <f>SUM(D148:F148)</f>
        <v>500</v>
      </c>
      <c r="H148" s="16"/>
      <c r="I148" s="46">
        <v>500</v>
      </c>
      <c r="J148" s="16"/>
      <c r="K148" s="16"/>
      <c r="L148" s="16"/>
      <c r="M148" s="23">
        <f>SUM(H148:L148)</f>
        <v>500</v>
      </c>
      <c r="N148" s="3">
        <f t="shared" si="33"/>
        <v>0</v>
      </c>
    </row>
    <row r="149" spans="1:14" s="3" customFormat="1" ht="12.75">
      <c r="A149" s="25"/>
      <c r="B149" s="39" t="s">
        <v>66</v>
      </c>
      <c r="C149" s="102" t="s">
        <v>138</v>
      </c>
      <c r="D149" s="17">
        <f aca="true" t="shared" si="40" ref="D149:M149">SUM(D146:D148)</f>
        <v>12220.193333333333</v>
      </c>
      <c r="E149" s="17">
        <f t="shared" si="40"/>
        <v>12220.193333333333</v>
      </c>
      <c r="F149" s="17">
        <f t="shared" si="40"/>
        <v>12220.193333333333</v>
      </c>
      <c r="G149" s="17">
        <f t="shared" si="40"/>
        <v>36660.58</v>
      </c>
      <c r="H149" s="17">
        <f t="shared" si="40"/>
        <v>9561.579999999998</v>
      </c>
      <c r="I149" s="17">
        <f t="shared" si="40"/>
        <v>21099</v>
      </c>
      <c r="J149" s="17">
        <f t="shared" si="40"/>
        <v>5500</v>
      </c>
      <c r="K149" s="17">
        <f t="shared" si="40"/>
        <v>500</v>
      </c>
      <c r="L149" s="17">
        <f t="shared" si="40"/>
        <v>0</v>
      </c>
      <c r="M149" s="17">
        <f t="shared" si="40"/>
        <v>36660.58</v>
      </c>
      <c r="N149" s="3">
        <f t="shared" si="33"/>
        <v>0</v>
      </c>
    </row>
    <row r="150" spans="1:14" s="3" customFormat="1" ht="12.75">
      <c r="A150" s="59"/>
      <c r="B150" s="72">
        <v>4300</v>
      </c>
      <c r="C150" s="104" t="s">
        <v>122</v>
      </c>
      <c r="D150" s="68"/>
      <c r="E150" s="68"/>
      <c r="F150" s="68"/>
      <c r="G150" s="64"/>
      <c r="H150" s="69"/>
      <c r="I150" s="68"/>
      <c r="J150" s="68"/>
      <c r="K150" s="68"/>
      <c r="L150" s="68"/>
      <c r="M150" s="64"/>
      <c r="N150" s="3">
        <f t="shared" si="33"/>
        <v>0</v>
      </c>
    </row>
    <row r="151" spans="1:14" s="3" customFormat="1" ht="12.75">
      <c r="A151" s="54"/>
      <c r="B151" s="73"/>
      <c r="C151" s="109" t="s">
        <v>123</v>
      </c>
      <c r="D151" s="70"/>
      <c r="E151" s="70"/>
      <c r="F151" s="70"/>
      <c r="G151" s="65"/>
      <c r="H151" s="71"/>
      <c r="I151" s="70"/>
      <c r="J151" s="70"/>
      <c r="K151" s="70"/>
      <c r="L151" s="70"/>
      <c r="M151" s="65"/>
      <c r="N151" s="3">
        <f t="shared" si="33"/>
        <v>0</v>
      </c>
    </row>
    <row r="152" spans="1:14" s="3" customFormat="1" ht="12.75">
      <c r="A152" s="25"/>
      <c r="B152" s="39" t="s">
        <v>67</v>
      </c>
      <c r="C152" s="111" t="s">
        <v>512</v>
      </c>
      <c r="D152" s="16">
        <f>M152/3</f>
        <v>2259</v>
      </c>
      <c r="E152" s="16">
        <f>D152</f>
        <v>2259</v>
      </c>
      <c r="F152" s="16">
        <f>E152</f>
        <v>2259</v>
      </c>
      <c r="G152" s="23">
        <f>SUM(D152:F152)</f>
        <v>6777</v>
      </c>
      <c r="H152" s="16"/>
      <c r="I152" s="16">
        <v>2300</v>
      </c>
      <c r="J152" s="16">
        <v>2000</v>
      </c>
      <c r="K152" s="16">
        <f>2477</f>
        <v>2477</v>
      </c>
      <c r="L152" s="16"/>
      <c r="M152" s="23">
        <f>SUM(H152:L152)</f>
        <v>6777</v>
      </c>
      <c r="N152" s="3">
        <f t="shared" si="33"/>
        <v>0</v>
      </c>
    </row>
    <row r="153" spans="1:14" s="3" customFormat="1" ht="12.75">
      <c r="A153" s="25"/>
      <c r="B153" s="39" t="s">
        <v>68</v>
      </c>
      <c r="C153" s="102" t="s">
        <v>138</v>
      </c>
      <c r="D153" s="17">
        <f>SUM(D152:D152)</f>
        <v>2259</v>
      </c>
      <c r="E153" s="17">
        <f aca="true" t="shared" si="41" ref="E153:M153">SUM(E152:E152)</f>
        <v>2259</v>
      </c>
      <c r="F153" s="17">
        <f t="shared" si="41"/>
        <v>2259</v>
      </c>
      <c r="G153" s="17">
        <f t="shared" si="41"/>
        <v>6777</v>
      </c>
      <c r="H153" s="17">
        <f t="shared" si="41"/>
        <v>0</v>
      </c>
      <c r="I153" s="17">
        <f t="shared" si="41"/>
        <v>2300</v>
      </c>
      <c r="J153" s="17">
        <f t="shared" si="41"/>
        <v>2000</v>
      </c>
      <c r="K153" s="17">
        <f t="shared" si="41"/>
        <v>2477</v>
      </c>
      <c r="L153" s="17">
        <f t="shared" si="41"/>
        <v>0</v>
      </c>
      <c r="M153" s="17">
        <f t="shared" si="41"/>
        <v>6777</v>
      </c>
      <c r="N153" s="3">
        <f t="shared" si="33"/>
        <v>0</v>
      </c>
    </row>
    <row r="154" spans="1:14" s="3" customFormat="1" ht="12.75">
      <c r="A154" s="35"/>
      <c r="B154" s="36">
        <v>4999</v>
      </c>
      <c r="C154" s="107" t="s">
        <v>29</v>
      </c>
      <c r="D154" s="17">
        <f aca="true" t="shared" si="42" ref="D154:M154">+D143+D149+D153</f>
        <v>30979.193333333333</v>
      </c>
      <c r="E154" s="17">
        <f t="shared" si="42"/>
        <v>30979.193333333333</v>
      </c>
      <c r="F154" s="17">
        <f t="shared" si="42"/>
        <v>30979.193333333333</v>
      </c>
      <c r="G154" s="17">
        <f t="shared" si="42"/>
        <v>92937.58</v>
      </c>
      <c r="H154" s="17">
        <f t="shared" si="42"/>
        <v>14901.559999999998</v>
      </c>
      <c r="I154" s="17">
        <f t="shared" si="42"/>
        <v>52730.00666666667</v>
      </c>
      <c r="J154" s="17">
        <f t="shared" si="42"/>
        <v>16945.006666666668</v>
      </c>
      <c r="K154" s="17">
        <f t="shared" si="42"/>
        <v>8361.006666666666</v>
      </c>
      <c r="L154" s="17">
        <f t="shared" si="42"/>
        <v>0</v>
      </c>
      <c r="M154" s="17">
        <f t="shared" si="42"/>
        <v>92937.58</v>
      </c>
      <c r="N154" s="3">
        <f t="shared" si="33"/>
        <v>0</v>
      </c>
    </row>
    <row r="155" spans="1:14" s="3" customFormat="1" ht="12.75">
      <c r="A155" s="80">
        <v>50</v>
      </c>
      <c r="B155" s="74" t="s">
        <v>69</v>
      </c>
      <c r="C155" s="108"/>
      <c r="D155" s="61"/>
      <c r="E155" s="61"/>
      <c r="F155" s="61"/>
      <c r="G155" s="62"/>
      <c r="H155" s="63"/>
      <c r="I155" s="61"/>
      <c r="J155" s="61"/>
      <c r="K155" s="61"/>
      <c r="L155" s="61"/>
      <c r="M155" s="64"/>
      <c r="N155" s="3">
        <f t="shared" si="33"/>
        <v>0</v>
      </c>
    </row>
    <row r="156" spans="1:14" s="3" customFormat="1" ht="12.75">
      <c r="A156" s="22"/>
      <c r="B156" s="85" t="s">
        <v>70</v>
      </c>
      <c r="C156" s="99" t="s">
        <v>107</v>
      </c>
      <c r="D156" s="77"/>
      <c r="E156" s="77"/>
      <c r="F156" s="77"/>
      <c r="G156" s="78"/>
      <c r="H156" s="79"/>
      <c r="I156" s="77"/>
      <c r="J156" s="77"/>
      <c r="K156" s="77"/>
      <c r="L156" s="77"/>
      <c r="M156" s="82"/>
      <c r="N156" s="3">
        <f aca="true" t="shared" si="43" ref="N156:N187">G156-M156</f>
        <v>0</v>
      </c>
    </row>
    <row r="157" spans="1:14" s="3" customFormat="1" ht="12.75">
      <c r="A157" s="54"/>
      <c r="B157" s="75"/>
      <c r="C157" s="100" t="s">
        <v>97</v>
      </c>
      <c r="D157" s="56"/>
      <c r="E157" s="56"/>
      <c r="F157" s="56"/>
      <c r="G157" s="57"/>
      <c r="H157" s="58"/>
      <c r="I157" s="56"/>
      <c r="J157" s="56"/>
      <c r="K157" s="56"/>
      <c r="L157" s="56"/>
      <c r="M157" s="65"/>
      <c r="N157" s="3">
        <f t="shared" si="43"/>
        <v>0</v>
      </c>
    </row>
    <row r="158" spans="1:14" s="3" customFormat="1" ht="12.75">
      <c r="A158" s="25"/>
      <c r="B158" s="26" t="s">
        <v>71</v>
      </c>
      <c r="C158" s="111" t="s">
        <v>99</v>
      </c>
      <c r="D158" s="16">
        <v>1000</v>
      </c>
      <c r="E158" s="16">
        <v>2000</v>
      </c>
      <c r="F158" s="16">
        <v>2000</v>
      </c>
      <c r="G158" s="23">
        <f>SUM(D158:F158)</f>
        <v>5000</v>
      </c>
      <c r="H158" s="46"/>
      <c r="I158" s="16">
        <v>2000</v>
      </c>
      <c r="J158" s="16">
        <f>I158</f>
        <v>2000</v>
      </c>
      <c r="K158" s="16">
        <v>1000</v>
      </c>
      <c r="L158" s="16"/>
      <c r="M158" s="23">
        <f>SUM(H158:L158)</f>
        <v>5000</v>
      </c>
      <c r="N158" s="3">
        <f t="shared" si="43"/>
        <v>0</v>
      </c>
    </row>
    <row r="159" spans="1:14" s="3" customFormat="1" ht="12.75">
      <c r="A159" s="25"/>
      <c r="B159" s="26" t="s">
        <v>72</v>
      </c>
      <c r="C159" s="111" t="s">
        <v>128</v>
      </c>
      <c r="D159" s="16">
        <v>1000</v>
      </c>
      <c r="E159" s="16">
        <v>1000</v>
      </c>
      <c r="F159" s="15">
        <v>1000</v>
      </c>
      <c r="G159" s="23">
        <f>SUM(D159:F159)</f>
        <v>3000</v>
      </c>
      <c r="H159" s="46"/>
      <c r="I159" s="16">
        <v>1000</v>
      </c>
      <c r="J159" s="16">
        <v>1000</v>
      </c>
      <c r="K159" s="16">
        <v>1000</v>
      </c>
      <c r="L159" s="16"/>
      <c r="M159" s="23">
        <f>SUM(H159:L159)</f>
        <v>3000</v>
      </c>
      <c r="N159" s="3">
        <f t="shared" si="43"/>
        <v>0</v>
      </c>
    </row>
    <row r="160" spans="1:14" s="3" customFormat="1" ht="12.75">
      <c r="A160" s="25"/>
      <c r="B160" s="26" t="s">
        <v>73</v>
      </c>
      <c r="C160" s="111" t="s">
        <v>100</v>
      </c>
      <c r="D160" s="16">
        <v>14000</v>
      </c>
      <c r="E160" s="15">
        <f>D160</f>
        <v>14000</v>
      </c>
      <c r="F160" s="15">
        <f>E160</f>
        <v>14000</v>
      </c>
      <c r="G160" s="23">
        <f>SUM(D160:F160)</f>
        <v>42000</v>
      </c>
      <c r="H160" s="46"/>
      <c r="I160" s="16">
        <f>G160/3</f>
        <v>14000</v>
      </c>
      <c r="J160" s="15">
        <f>I160</f>
        <v>14000</v>
      </c>
      <c r="K160" s="15">
        <f>J160</f>
        <v>14000</v>
      </c>
      <c r="L160" s="15"/>
      <c r="M160" s="23">
        <f>SUM(H160:L160)</f>
        <v>42000</v>
      </c>
      <c r="N160" s="3">
        <f t="shared" si="43"/>
        <v>0</v>
      </c>
    </row>
    <row r="161" spans="1:14" s="3" customFormat="1" ht="12.75">
      <c r="A161" s="25"/>
      <c r="B161" s="26" t="s">
        <v>74</v>
      </c>
      <c r="C161" s="111" t="s">
        <v>101</v>
      </c>
      <c r="D161" s="16">
        <v>500</v>
      </c>
      <c r="E161" s="16">
        <f>D161</f>
        <v>500</v>
      </c>
      <c r="F161" s="16">
        <f>E161</f>
        <v>500</v>
      </c>
      <c r="G161" s="23">
        <f>SUM(D161:F161)</f>
        <v>1500</v>
      </c>
      <c r="H161" s="16"/>
      <c r="I161" s="16">
        <f>G161/3</f>
        <v>500</v>
      </c>
      <c r="J161" s="16">
        <f>I161</f>
        <v>500</v>
      </c>
      <c r="K161" s="16">
        <f>J161</f>
        <v>500</v>
      </c>
      <c r="L161" s="16"/>
      <c r="M161" s="23">
        <f>SUM(H161:L161)</f>
        <v>1500</v>
      </c>
      <c r="N161" s="3">
        <f t="shared" si="43"/>
        <v>0</v>
      </c>
    </row>
    <row r="162" spans="1:14" s="3" customFormat="1" ht="12.75">
      <c r="A162" s="25"/>
      <c r="B162" s="26" t="s">
        <v>75</v>
      </c>
      <c r="C162" s="111" t="s">
        <v>102</v>
      </c>
      <c r="D162" s="16"/>
      <c r="E162" s="15"/>
      <c r="F162" s="15"/>
      <c r="G162" s="23">
        <f>SUM(D162:F162)</f>
        <v>0</v>
      </c>
      <c r="H162" s="46"/>
      <c r="I162" s="16"/>
      <c r="J162" s="16"/>
      <c r="K162" s="16"/>
      <c r="L162" s="16"/>
      <c r="M162" s="23">
        <f>SUM(H162:L162)</f>
        <v>0</v>
      </c>
      <c r="N162" s="3">
        <f t="shared" si="43"/>
        <v>0</v>
      </c>
    </row>
    <row r="163" spans="1:14" s="3" customFormat="1" ht="12.75">
      <c r="A163" s="25"/>
      <c r="B163" s="39" t="s">
        <v>76</v>
      </c>
      <c r="C163" s="102" t="s">
        <v>138</v>
      </c>
      <c r="D163" s="17">
        <f>SUM(D158:D162)</f>
        <v>16500</v>
      </c>
      <c r="E163" s="17">
        <f aca="true" t="shared" si="44" ref="E163:M163">SUM(E158:E162)</f>
        <v>17500</v>
      </c>
      <c r="F163" s="17">
        <f t="shared" si="44"/>
        <v>17500</v>
      </c>
      <c r="G163" s="17">
        <f t="shared" si="44"/>
        <v>51500</v>
      </c>
      <c r="H163" s="17">
        <f t="shared" si="44"/>
        <v>0</v>
      </c>
      <c r="I163" s="17">
        <f t="shared" si="44"/>
        <v>17500</v>
      </c>
      <c r="J163" s="17">
        <f t="shared" si="44"/>
        <v>17500</v>
      </c>
      <c r="K163" s="17">
        <f t="shared" si="44"/>
        <v>16500</v>
      </c>
      <c r="L163" s="17">
        <f t="shared" si="44"/>
        <v>0</v>
      </c>
      <c r="M163" s="17">
        <f t="shared" si="44"/>
        <v>51500</v>
      </c>
      <c r="N163" s="3">
        <f t="shared" si="43"/>
        <v>0</v>
      </c>
    </row>
    <row r="164" spans="1:14" s="3" customFormat="1" ht="12.75">
      <c r="A164" s="59"/>
      <c r="B164" s="72">
        <v>5200</v>
      </c>
      <c r="C164" s="104" t="s">
        <v>129</v>
      </c>
      <c r="D164" s="68"/>
      <c r="E164" s="68"/>
      <c r="F164" s="68"/>
      <c r="G164" s="64"/>
      <c r="H164" s="69"/>
      <c r="I164" s="68"/>
      <c r="J164" s="68"/>
      <c r="K164" s="68"/>
      <c r="L164" s="68"/>
      <c r="M164" s="64"/>
      <c r="N164" s="3">
        <f t="shared" si="43"/>
        <v>0</v>
      </c>
    </row>
    <row r="165" spans="1:14" s="3" customFormat="1" ht="12.75">
      <c r="A165" s="54"/>
      <c r="B165" s="73"/>
      <c r="C165" s="109" t="s">
        <v>98</v>
      </c>
      <c r="D165" s="70"/>
      <c r="E165" s="70"/>
      <c r="F165" s="70"/>
      <c r="G165" s="65"/>
      <c r="H165" s="71"/>
      <c r="I165" s="70"/>
      <c r="J165" s="70"/>
      <c r="K165" s="70"/>
      <c r="L165" s="70"/>
      <c r="M165" s="65"/>
      <c r="N165" s="3">
        <f t="shared" si="43"/>
        <v>0</v>
      </c>
    </row>
    <row r="166" spans="1:14" s="3" customFormat="1" ht="63.75">
      <c r="A166" s="25"/>
      <c r="B166" s="39" t="s">
        <v>77</v>
      </c>
      <c r="C166" s="102" t="s">
        <v>285</v>
      </c>
      <c r="D166" s="16">
        <f>M166/3</f>
        <v>93275.06666666667</v>
      </c>
      <c r="E166" s="16">
        <f>D166</f>
        <v>93275.06666666667</v>
      </c>
      <c r="F166" s="16">
        <f>E166</f>
        <v>93275.06666666667</v>
      </c>
      <c r="G166" s="23">
        <f>SUM(D166:F166)</f>
        <v>279825.2</v>
      </c>
      <c r="H166" s="16">
        <v>2950.2</v>
      </c>
      <c r="I166" s="16">
        <v>36875</v>
      </c>
      <c r="J166" s="16">
        <v>80000</v>
      </c>
      <c r="K166" s="16">
        <v>100000</v>
      </c>
      <c r="L166" s="16">
        <v>60000</v>
      </c>
      <c r="M166" s="23">
        <f>SUM(H166:L166)</f>
        <v>279825.2</v>
      </c>
      <c r="N166" s="3">
        <f t="shared" si="43"/>
        <v>0</v>
      </c>
    </row>
    <row r="167" spans="1:14" s="3" customFormat="1" ht="51">
      <c r="A167" s="25"/>
      <c r="B167" s="39" t="s">
        <v>78</v>
      </c>
      <c r="C167" s="102" t="s">
        <v>210</v>
      </c>
      <c r="D167" s="16"/>
      <c r="E167" s="16"/>
      <c r="F167" s="16">
        <v>20000</v>
      </c>
      <c r="G167" s="23">
        <f>SUM(D167:F167)</f>
        <v>20000</v>
      </c>
      <c r="H167" s="46"/>
      <c r="I167" s="16"/>
      <c r="J167" s="16"/>
      <c r="K167" s="16">
        <f>F167</f>
        <v>20000</v>
      </c>
      <c r="L167" s="16"/>
      <c r="M167" s="23">
        <f>SUM(H167:L167)</f>
        <v>20000</v>
      </c>
      <c r="N167" s="3">
        <f t="shared" si="43"/>
        <v>0</v>
      </c>
    </row>
    <row r="168" spans="1:14" s="3" customFormat="1" ht="12.75">
      <c r="A168" s="25"/>
      <c r="B168" s="39" t="s">
        <v>79</v>
      </c>
      <c r="C168" s="102" t="s">
        <v>138</v>
      </c>
      <c r="D168" s="17">
        <f>SUM(D166:D167)</f>
        <v>93275.06666666667</v>
      </c>
      <c r="E168" s="17">
        <f aca="true" t="shared" si="45" ref="E168:M168">SUM(E166:E167)</f>
        <v>93275.06666666667</v>
      </c>
      <c r="F168" s="17">
        <f t="shared" si="45"/>
        <v>113275.06666666667</v>
      </c>
      <c r="G168" s="17">
        <f t="shared" si="45"/>
        <v>299825.2</v>
      </c>
      <c r="H168" s="17">
        <f t="shared" si="45"/>
        <v>2950.2</v>
      </c>
      <c r="I168" s="17">
        <f t="shared" si="45"/>
        <v>36875</v>
      </c>
      <c r="J168" s="17">
        <f t="shared" si="45"/>
        <v>80000</v>
      </c>
      <c r="K168" s="17">
        <f t="shared" si="45"/>
        <v>120000</v>
      </c>
      <c r="L168" s="17">
        <f t="shared" si="45"/>
        <v>60000</v>
      </c>
      <c r="M168" s="17">
        <f t="shared" si="45"/>
        <v>299825.2</v>
      </c>
      <c r="N168" s="3">
        <f t="shared" si="43"/>
        <v>0</v>
      </c>
    </row>
    <row r="169" spans="1:14" s="3" customFormat="1" ht="12.75">
      <c r="A169" s="59"/>
      <c r="B169" s="72">
        <v>5300</v>
      </c>
      <c r="C169" s="104" t="s">
        <v>124</v>
      </c>
      <c r="D169" s="68"/>
      <c r="E169" s="68"/>
      <c r="F169" s="68"/>
      <c r="G169" s="64"/>
      <c r="H169" s="69"/>
      <c r="I169" s="68"/>
      <c r="J169" s="68"/>
      <c r="K169" s="68"/>
      <c r="L169" s="68"/>
      <c r="M169" s="64"/>
      <c r="N169" s="3">
        <f t="shared" si="43"/>
        <v>0</v>
      </c>
    </row>
    <row r="170" spans="1:14" s="3" customFormat="1" ht="12.75">
      <c r="A170" s="54"/>
      <c r="B170" s="73"/>
      <c r="C170" s="109" t="s">
        <v>130</v>
      </c>
      <c r="D170" s="16"/>
      <c r="E170" s="70"/>
      <c r="F170" s="70"/>
      <c r="G170" s="65"/>
      <c r="H170" s="71"/>
      <c r="I170" s="70"/>
      <c r="J170" s="70"/>
      <c r="K170" s="70"/>
      <c r="L170" s="70"/>
      <c r="M170" s="65"/>
      <c r="N170" s="3">
        <f t="shared" si="43"/>
        <v>0</v>
      </c>
    </row>
    <row r="171" spans="1:14" s="3" customFormat="1" ht="12.75">
      <c r="A171" s="25"/>
      <c r="B171" s="39" t="s">
        <v>80</v>
      </c>
      <c r="C171" s="102" t="s">
        <v>207</v>
      </c>
      <c r="D171" s="16">
        <f>M171/3</f>
        <v>6249.763333333333</v>
      </c>
      <c r="E171" s="16">
        <f aca="true" t="shared" si="46" ref="E171:F173">D171</f>
        <v>6249.763333333333</v>
      </c>
      <c r="F171" s="16">
        <f t="shared" si="46"/>
        <v>6249.763333333333</v>
      </c>
      <c r="G171" s="23">
        <f>SUM(D171:F171)</f>
        <v>18749.29</v>
      </c>
      <c r="H171" s="16">
        <v>3749.29</v>
      </c>
      <c r="I171" s="16">
        <v>4000</v>
      </c>
      <c r="J171" s="16">
        <f>I171</f>
        <v>4000</v>
      </c>
      <c r="K171" s="16">
        <f>J171</f>
        <v>4000</v>
      </c>
      <c r="L171" s="16">
        <v>3000</v>
      </c>
      <c r="M171" s="23">
        <f>SUM(H171:L171)</f>
        <v>18749.29</v>
      </c>
      <c r="N171" s="3">
        <f t="shared" si="43"/>
        <v>0</v>
      </c>
    </row>
    <row r="172" spans="1:14" s="3" customFormat="1" ht="12.75">
      <c r="A172" s="25"/>
      <c r="B172" s="39" t="s">
        <v>81</v>
      </c>
      <c r="C172" s="102" t="s">
        <v>208</v>
      </c>
      <c r="D172" s="16">
        <f>M172/3</f>
        <v>20000</v>
      </c>
      <c r="E172" s="16">
        <f t="shared" si="46"/>
        <v>20000</v>
      </c>
      <c r="F172" s="16">
        <f t="shared" si="46"/>
        <v>20000</v>
      </c>
      <c r="G172" s="23">
        <f>SUM(D172:F172)</f>
        <v>60000</v>
      </c>
      <c r="H172" s="16"/>
      <c r="J172" s="16">
        <v>20000</v>
      </c>
      <c r="K172" s="16"/>
      <c r="L172" s="16">
        <v>40000</v>
      </c>
      <c r="M172" s="23">
        <f>SUM(H172:L172)</f>
        <v>60000</v>
      </c>
      <c r="N172" s="3">
        <f t="shared" si="43"/>
        <v>0</v>
      </c>
    </row>
    <row r="173" spans="1:14" s="179" customFormat="1" ht="12.75">
      <c r="A173" s="25"/>
      <c r="B173" s="26" t="s">
        <v>82</v>
      </c>
      <c r="C173" s="111" t="s">
        <v>209</v>
      </c>
      <c r="D173" s="16">
        <f>M173/3</f>
        <v>4900.21</v>
      </c>
      <c r="E173" s="16">
        <f t="shared" si="46"/>
        <v>4900.21</v>
      </c>
      <c r="F173" s="16">
        <f t="shared" si="46"/>
        <v>4900.21</v>
      </c>
      <c r="G173" s="23">
        <f>SUM(D173:F173)</f>
        <v>14700.630000000001</v>
      </c>
      <c r="H173" s="16">
        <v>2700.63</v>
      </c>
      <c r="I173" s="16">
        <v>3000</v>
      </c>
      <c r="J173" s="16">
        <f>I173</f>
        <v>3000</v>
      </c>
      <c r="K173" s="16">
        <f>J173</f>
        <v>3000</v>
      </c>
      <c r="L173" s="16">
        <f>K173</f>
        <v>3000</v>
      </c>
      <c r="M173" s="23">
        <f>SUM(H173:L173)</f>
        <v>14700.630000000001</v>
      </c>
      <c r="N173" s="3">
        <f t="shared" si="43"/>
        <v>0</v>
      </c>
    </row>
    <row r="174" spans="1:14" s="3" customFormat="1" ht="12.75">
      <c r="A174" s="25"/>
      <c r="B174" s="39" t="s">
        <v>83</v>
      </c>
      <c r="C174" s="102" t="s">
        <v>138</v>
      </c>
      <c r="D174" s="17">
        <f>SUM(D171:D173)</f>
        <v>31149.97333333333</v>
      </c>
      <c r="E174" s="17">
        <f aca="true" t="shared" si="47" ref="E174:M174">SUM(E171:E173)</f>
        <v>31149.97333333333</v>
      </c>
      <c r="F174" s="17">
        <f t="shared" si="47"/>
        <v>31149.97333333333</v>
      </c>
      <c r="G174" s="17">
        <f t="shared" si="47"/>
        <v>93449.92000000001</v>
      </c>
      <c r="H174" s="17">
        <f t="shared" si="47"/>
        <v>6449.92</v>
      </c>
      <c r="I174" s="17">
        <f t="shared" si="47"/>
        <v>7000</v>
      </c>
      <c r="J174" s="17">
        <f t="shared" si="47"/>
        <v>27000</v>
      </c>
      <c r="K174" s="17">
        <f t="shared" si="47"/>
        <v>7000</v>
      </c>
      <c r="L174" s="17">
        <f t="shared" si="47"/>
        <v>46000</v>
      </c>
      <c r="M174" s="17">
        <f t="shared" si="47"/>
        <v>93449.92000000001</v>
      </c>
      <c r="N174" s="3">
        <f t="shared" si="43"/>
        <v>0</v>
      </c>
    </row>
    <row r="175" spans="1:14" s="3" customFormat="1" ht="12.75">
      <c r="A175" s="25"/>
      <c r="B175" s="41">
        <v>5400</v>
      </c>
      <c r="C175" s="106" t="s">
        <v>84</v>
      </c>
      <c r="D175" s="16"/>
      <c r="E175" s="16"/>
      <c r="F175" s="16"/>
      <c r="G175" s="23"/>
      <c r="H175" s="46"/>
      <c r="I175" s="16"/>
      <c r="J175" s="16"/>
      <c r="K175" s="16"/>
      <c r="L175" s="16"/>
      <c r="M175" s="23"/>
      <c r="N175" s="3">
        <f t="shared" si="43"/>
        <v>0</v>
      </c>
    </row>
    <row r="176" spans="1:14" s="3" customFormat="1" ht="12.75">
      <c r="A176" s="25"/>
      <c r="B176" s="39" t="s">
        <v>85</v>
      </c>
      <c r="C176" s="102"/>
      <c r="D176" s="15"/>
      <c r="E176" s="15"/>
      <c r="F176" s="15"/>
      <c r="G176" s="23">
        <f>SUM(D176:F176)</f>
        <v>0</v>
      </c>
      <c r="H176" s="46"/>
      <c r="I176" s="16"/>
      <c r="J176" s="16"/>
      <c r="K176" s="16"/>
      <c r="L176" s="16"/>
      <c r="M176" s="23">
        <f>SUM(H176:L176)</f>
        <v>0</v>
      </c>
      <c r="N176" s="3">
        <f t="shared" si="43"/>
        <v>0</v>
      </c>
    </row>
    <row r="177" spans="1:14" s="3" customFormat="1" ht="12.75">
      <c r="A177" s="25"/>
      <c r="B177" s="42">
        <v>5402</v>
      </c>
      <c r="C177" s="102"/>
      <c r="D177" s="16"/>
      <c r="E177" s="16"/>
      <c r="F177" s="16"/>
      <c r="G177" s="23">
        <f>SUM(D177:F177)</f>
        <v>0</v>
      </c>
      <c r="H177" s="46"/>
      <c r="I177" s="16"/>
      <c r="J177" s="16"/>
      <c r="K177" s="16"/>
      <c r="L177" s="16"/>
      <c r="M177" s="23">
        <f>SUM(H177:L177)</f>
        <v>0</v>
      </c>
      <c r="N177" s="3">
        <f t="shared" si="43"/>
        <v>0</v>
      </c>
    </row>
    <row r="178" spans="1:14" s="3" customFormat="1" ht="12.75">
      <c r="A178" s="25"/>
      <c r="B178" s="39" t="s">
        <v>86</v>
      </c>
      <c r="C178" s="102" t="s">
        <v>138</v>
      </c>
      <c r="D178" s="17">
        <f>SUM(D176:D177)</f>
        <v>0</v>
      </c>
      <c r="E178" s="17">
        <f aca="true" t="shared" si="48" ref="E178:M178">SUM(E176:E177)</f>
        <v>0</v>
      </c>
      <c r="F178" s="17">
        <f t="shared" si="48"/>
        <v>0</v>
      </c>
      <c r="G178" s="17">
        <f t="shared" si="48"/>
        <v>0</v>
      </c>
      <c r="H178" s="17">
        <f t="shared" si="48"/>
        <v>0</v>
      </c>
      <c r="I178" s="17">
        <f t="shared" si="48"/>
        <v>0</v>
      </c>
      <c r="J178" s="17">
        <f t="shared" si="48"/>
        <v>0</v>
      </c>
      <c r="K178" s="17">
        <f t="shared" si="48"/>
        <v>0</v>
      </c>
      <c r="L178" s="17">
        <f t="shared" si="48"/>
        <v>0</v>
      </c>
      <c r="M178" s="17">
        <f t="shared" si="48"/>
        <v>0</v>
      </c>
      <c r="N178" s="3">
        <f t="shared" si="43"/>
        <v>0</v>
      </c>
    </row>
    <row r="179" spans="1:14" s="3" customFormat="1" ht="12.75">
      <c r="A179" s="59"/>
      <c r="B179" s="72">
        <v>5500</v>
      </c>
      <c r="C179" s="104" t="s">
        <v>125</v>
      </c>
      <c r="D179" s="61"/>
      <c r="E179" s="61"/>
      <c r="F179" s="61"/>
      <c r="G179" s="62"/>
      <c r="H179" s="63"/>
      <c r="I179" s="61"/>
      <c r="J179" s="61"/>
      <c r="K179" s="61"/>
      <c r="L179" s="61"/>
      <c r="M179" s="64"/>
      <c r="N179" s="3">
        <f t="shared" si="43"/>
        <v>0</v>
      </c>
    </row>
    <row r="180" spans="1:14" s="3" customFormat="1" ht="12.75">
      <c r="A180" s="54"/>
      <c r="B180" s="73"/>
      <c r="C180" s="109" t="s">
        <v>132</v>
      </c>
      <c r="D180" s="56"/>
      <c r="E180" s="56"/>
      <c r="F180" s="56"/>
      <c r="G180" s="57"/>
      <c r="H180" s="58"/>
      <c r="I180" s="56"/>
      <c r="J180" s="56"/>
      <c r="K180" s="56"/>
      <c r="L180" s="56"/>
      <c r="M180" s="65"/>
      <c r="N180" s="3">
        <f t="shared" si="43"/>
        <v>0</v>
      </c>
    </row>
    <row r="181" spans="1:14" s="3" customFormat="1" ht="25.5">
      <c r="A181" s="25"/>
      <c r="B181" s="39" t="s">
        <v>87</v>
      </c>
      <c r="C181" s="101" t="s">
        <v>212</v>
      </c>
      <c r="D181" s="16"/>
      <c r="E181" s="16"/>
      <c r="F181" s="16">
        <f>'DP1'!F122+'DP2'!F130+'DP3'!F130</f>
        <v>45000</v>
      </c>
      <c r="G181" s="23">
        <f>SUM(D181:F181)</f>
        <v>45000</v>
      </c>
      <c r="H181" s="46"/>
      <c r="I181" s="16"/>
      <c r="J181" s="16">
        <v>15000</v>
      </c>
      <c r="K181" s="16"/>
      <c r="L181" s="16">
        <v>30000</v>
      </c>
      <c r="M181" s="23">
        <f>SUM(H181:L181)</f>
        <v>45000</v>
      </c>
      <c r="N181" s="3">
        <f t="shared" si="43"/>
        <v>0</v>
      </c>
    </row>
    <row r="182" spans="1:14" s="3" customFormat="1" ht="33" customHeight="1">
      <c r="A182" s="25"/>
      <c r="B182" s="39" t="s">
        <v>88</v>
      </c>
      <c r="C182" s="102" t="s">
        <v>616</v>
      </c>
      <c r="D182" s="16">
        <f>M182/3</f>
        <v>33333.333333333336</v>
      </c>
      <c r="E182" s="16">
        <f>D182</f>
        <v>33333.333333333336</v>
      </c>
      <c r="F182" s="16">
        <f>E182</f>
        <v>33333.333333333336</v>
      </c>
      <c r="G182" s="23">
        <f>SUM(D182:F182)</f>
        <v>100000</v>
      </c>
      <c r="H182" s="46"/>
      <c r="I182" s="16"/>
      <c r="J182" s="16">
        <v>40000</v>
      </c>
      <c r="K182" s="16"/>
      <c r="L182" s="16">
        <v>60000</v>
      </c>
      <c r="M182" s="23">
        <f>SUM(H182:L182)</f>
        <v>100000</v>
      </c>
      <c r="N182" s="3">
        <f t="shared" si="43"/>
        <v>0</v>
      </c>
    </row>
    <row r="183" spans="1:14" s="3" customFormat="1" ht="12.75">
      <c r="A183" s="25"/>
      <c r="B183" s="39" t="s">
        <v>89</v>
      </c>
      <c r="C183" s="102" t="s">
        <v>138</v>
      </c>
      <c r="D183" s="17">
        <f>SUM(D181:D182)</f>
        <v>33333.333333333336</v>
      </c>
      <c r="E183" s="17">
        <f aca="true" t="shared" si="49" ref="E183:M183">SUM(E181:E182)</f>
        <v>33333.333333333336</v>
      </c>
      <c r="F183" s="17">
        <f t="shared" si="49"/>
        <v>78333.33333333334</v>
      </c>
      <c r="G183" s="17">
        <f t="shared" si="49"/>
        <v>145000</v>
      </c>
      <c r="H183" s="17">
        <f t="shared" si="49"/>
        <v>0</v>
      </c>
      <c r="I183" s="17">
        <f t="shared" si="49"/>
        <v>0</v>
      </c>
      <c r="J183" s="17">
        <f t="shared" si="49"/>
        <v>55000</v>
      </c>
      <c r="K183" s="17">
        <f t="shared" si="49"/>
        <v>0</v>
      </c>
      <c r="L183" s="17">
        <f t="shared" si="49"/>
        <v>90000</v>
      </c>
      <c r="M183" s="17">
        <f t="shared" si="49"/>
        <v>145000</v>
      </c>
      <c r="N183" s="3">
        <f t="shared" si="43"/>
        <v>0</v>
      </c>
    </row>
    <row r="184" spans="1:14" s="3" customFormat="1" ht="12.75">
      <c r="A184" s="35"/>
      <c r="B184" s="36">
        <v>5999</v>
      </c>
      <c r="C184" s="107" t="s">
        <v>29</v>
      </c>
      <c r="D184" s="17">
        <f>+D163+D168+D174+D178+D183</f>
        <v>174258.37333333335</v>
      </c>
      <c r="E184" s="17">
        <f aca="true" t="shared" si="50" ref="E184:M184">+E163+E168+E174+E178+E183</f>
        <v>175258.37333333335</v>
      </c>
      <c r="F184" s="17">
        <f t="shared" si="50"/>
        <v>240258.37333333335</v>
      </c>
      <c r="G184" s="17">
        <f t="shared" si="50"/>
        <v>589775.12</v>
      </c>
      <c r="H184" s="17">
        <f t="shared" si="50"/>
        <v>9400.119999999999</v>
      </c>
      <c r="I184" s="17">
        <f t="shared" si="50"/>
        <v>61375</v>
      </c>
      <c r="J184" s="17">
        <f t="shared" si="50"/>
        <v>179500</v>
      </c>
      <c r="K184" s="17">
        <f t="shared" si="50"/>
        <v>143500</v>
      </c>
      <c r="L184" s="17">
        <f t="shared" si="50"/>
        <v>196000</v>
      </c>
      <c r="M184" s="17">
        <f t="shared" si="50"/>
        <v>589775.12</v>
      </c>
      <c r="N184" s="3">
        <f t="shared" si="43"/>
        <v>0</v>
      </c>
    </row>
    <row r="185" spans="1:14" s="3" customFormat="1" ht="12.75">
      <c r="A185" s="22"/>
      <c r="B185" s="19"/>
      <c r="C185" s="112"/>
      <c r="D185" s="15"/>
      <c r="E185" s="15"/>
      <c r="F185" s="15"/>
      <c r="G185" s="48"/>
      <c r="H185" s="27"/>
      <c r="I185" s="15"/>
      <c r="J185" s="15"/>
      <c r="K185" s="15"/>
      <c r="L185" s="15"/>
      <c r="M185" s="37"/>
      <c r="N185" s="3">
        <f t="shared" si="43"/>
        <v>0</v>
      </c>
    </row>
    <row r="186" spans="1:14" s="3" customFormat="1" ht="13.5" thickBot="1">
      <c r="A186" s="49"/>
      <c r="B186" s="50" t="s">
        <v>136</v>
      </c>
      <c r="C186" s="113"/>
      <c r="D186" s="24">
        <f aca="true" t="shared" si="51" ref="D186:M186">+D74+D98+D136+D154+D184</f>
        <v>1332046.96397312</v>
      </c>
      <c r="E186" s="24">
        <f t="shared" si="51"/>
        <v>1818967.0639731202</v>
      </c>
      <c r="F186" s="24">
        <f t="shared" si="51"/>
        <v>1800264.08397312</v>
      </c>
      <c r="G186" s="24">
        <f t="shared" si="51"/>
        <v>4951278.11191936</v>
      </c>
      <c r="H186" s="24">
        <f t="shared" si="51"/>
        <v>710067.5000000001</v>
      </c>
      <c r="I186" s="24">
        <f t="shared" si="51"/>
        <v>1115666.4366666665</v>
      </c>
      <c r="J186" s="24">
        <f t="shared" si="51"/>
        <v>1378446.2070666666</v>
      </c>
      <c r="K186" s="24">
        <f t="shared" si="51"/>
        <v>1180307.5054826667</v>
      </c>
      <c r="L186" s="24">
        <f t="shared" si="51"/>
        <v>566790.46270336</v>
      </c>
      <c r="M186" s="24">
        <f t="shared" si="51"/>
        <v>4951278.11191936</v>
      </c>
      <c r="N186" s="3">
        <f t="shared" si="43"/>
        <v>0</v>
      </c>
    </row>
    <row r="187" spans="1:14" s="3" customFormat="1" ht="13.5" thickBot="1">
      <c r="A187" s="49"/>
      <c r="B187" s="50" t="s">
        <v>280</v>
      </c>
      <c r="C187" s="113"/>
      <c r="D187" s="24">
        <f>0.08*D186</f>
        <v>106563.75711784961</v>
      </c>
      <c r="E187" s="24">
        <f aca="true" t="shared" si="52" ref="E187:M187">0.08*E186</f>
        <v>145517.3651178496</v>
      </c>
      <c r="F187" s="24">
        <f t="shared" si="52"/>
        <v>144021.1267178496</v>
      </c>
      <c r="G187" s="24">
        <f t="shared" si="52"/>
        <v>396102.24895354884</v>
      </c>
      <c r="H187" s="24">
        <f t="shared" si="52"/>
        <v>56805.40000000001</v>
      </c>
      <c r="I187" s="24">
        <f t="shared" si="52"/>
        <v>89253.31493333333</v>
      </c>
      <c r="J187" s="24">
        <f t="shared" si="52"/>
        <v>110275.69656533333</v>
      </c>
      <c r="K187" s="24">
        <f t="shared" si="52"/>
        <v>94424.60043861333</v>
      </c>
      <c r="L187" s="24">
        <f t="shared" si="52"/>
        <v>45343.2370162688</v>
      </c>
      <c r="M187" s="24">
        <f t="shared" si="52"/>
        <v>396102.24895354884</v>
      </c>
      <c r="N187" s="3">
        <f t="shared" si="43"/>
        <v>0</v>
      </c>
    </row>
    <row r="188" spans="1:14" s="3" customFormat="1" ht="13.5" thickBot="1">
      <c r="A188" s="49"/>
      <c r="B188" s="50" t="s">
        <v>281</v>
      </c>
      <c r="C188" s="113"/>
      <c r="D188" s="24">
        <f>D186+D187</f>
        <v>1438610.7210909696</v>
      </c>
      <c r="E188" s="24">
        <f aca="true" t="shared" si="53" ref="E188:M188">E186+E187</f>
        <v>1964484.4290909697</v>
      </c>
      <c r="F188" s="24">
        <f t="shared" si="53"/>
        <v>1944285.2106909696</v>
      </c>
      <c r="G188" s="24">
        <f t="shared" si="53"/>
        <v>5347380.360872909</v>
      </c>
      <c r="H188" s="24">
        <f t="shared" si="53"/>
        <v>766872.9000000001</v>
      </c>
      <c r="I188" s="24">
        <f t="shared" si="53"/>
        <v>1204919.7515999998</v>
      </c>
      <c r="J188" s="24">
        <f t="shared" si="53"/>
        <v>1488721.9036319999</v>
      </c>
      <c r="K188" s="24">
        <f t="shared" si="53"/>
        <v>1274732.10592128</v>
      </c>
      <c r="L188" s="24">
        <f t="shared" si="53"/>
        <v>612133.6997196288</v>
      </c>
      <c r="M188" s="24">
        <f t="shared" si="53"/>
        <v>5347380.360872909</v>
      </c>
      <c r="N188" s="3">
        <f>G188-M188</f>
        <v>0</v>
      </c>
    </row>
    <row r="189" spans="1:13" s="3" customFormat="1" ht="12.75">
      <c r="A189" s="5"/>
      <c r="B189" s="9"/>
      <c r="C189" s="96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s="3" customFormat="1" ht="12.75">
      <c r="A190" s="5"/>
      <c r="B190" s="9"/>
      <c r="C190" s="96"/>
      <c r="D190" s="2"/>
      <c r="E190" s="2"/>
      <c r="F190" s="2"/>
      <c r="G190" s="16">
        <v>5347380</v>
      </c>
      <c r="H190" s="2"/>
      <c r="I190" s="2"/>
      <c r="J190" s="2"/>
      <c r="K190" s="2"/>
      <c r="L190" s="2"/>
      <c r="M190" s="2"/>
    </row>
    <row r="191" spans="1:13" s="3" customFormat="1" ht="12.75">
      <c r="A191" s="5"/>
      <c r="B191" s="9"/>
      <c r="C191" s="96"/>
      <c r="D191" s="2"/>
      <c r="E191" s="2"/>
      <c r="F191" s="2"/>
      <c r="G191" s="16">
        <f>G190-G188</f>
        <v>-0.36087290942668915</v>
      </c>
      <c r="H191" s="2"/>
      <c r="I191" s="2"/>
      <c r="J191" s="2"/>
      <c r="K191" s="2"/>
      <c r="L191" s="2"/>
      <c r="M191" s="2"/>
    </row>
    <row r="192" spans="1:13" s="3" customFormat="1" ht="12.75">
      <c r="A192" s="5"/>
      <c r="B192" s="9"/>
      <c r="C192" s="96"/>
      <c r="D192" s="2"/>
      <c r="E192" s="2"/>
      <c r="F192" s="2"/>
      <c r="G192" s="16"/>
      <c r="H192" s="2"/>
      <c r="I192" s="2"/>
      <c r="J192" s="2"/>
      <c r="K192" s="2"/>
      <c r="L192" s="2"/>
      <c r="M192" s="2"/>
    </row>
    <row r="193" spans="1:13" s="3" customFormat="1" ht="12.75">
      <c r="A193" s="5"/>
      <c r="B193" s="9"/>
      <c r="C193" s="96"/>
      <c r="D193" s="2"/>
      <c r="E193" s="2"/>
      <c r="F193" s="2"/>
      <c r="G193" s="16">
        <f>G190/1.08</f>
        <v>4951277.777777777</v>
      </c>
      <c r="H193" s="2"/>
      <c r="I193" s="2"/>
      <c r="J193" s="2"/>
      <c r="K193" s="2"/>
      <c r="L193" s="2"/>
      <c r="M193" s="2"/>
    </row>
    <row r="194" spans="1:13" s="3" customFormat="1" ht="12.75">
      <c r="A194" s="5"/>
      <c r="B194" s="9"/>
      <c r="C194" s="96"/>
      <c r="D194" s="2"/>
      <c r="E194" s="2"/>
      <c r="F194" s="2"/>
      <c r="G194" s="16">
        <f>G186-G193</f>
        <v>0.33414158318191767</v>
      </c>
      <c r="H194" s="2"/>
      <c r="I194" s="2"/>
      <c r="J194" s="2"/>
      <c r="K194" s="2"/>
      <c r="L194" s="2"/>
      <c r="M194" s="2"/>
    </row>
    <row r="195" spans="1:13" s="3" customFormat="1" ht="12.75">
      <c r="A195" s="5"/>
      <c r="B195" s="9"/>
      <c r="C195" s="96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s="3" customFormat="1" ht="12.75">
      <c r="A196" s="5"/>
      <c r="B196" s="9"/>
      <c r="C196" s="96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s="3" customFormat="1" ht="12.75">
      <c r="A197" s="5"/>
      <c r="B197" s="9"/>
      <c r="C197" s="96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s="3" customFormat="1" ht="12.75">
      <c r="A198" s="5"/>
      <c r="B198" s="9"/>
      <c r="C198" s="96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s="3" customFormat="1" ht="12.75">
      <c r="A199" s="5"/>
      <c r="B199" s="9"/>
      <c r="C199" s="96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s="3" customFormat="1" ht="12.75">
      <c r="A200" s="5"/>
      <c r="B200" s="9"/>
      <c r="C200" s="96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s="3" customFormat="1" ht="12.75">
      <c r="A201" s="5"/>
      <c r="B201" s="9"/>
      <c r="C201" s="96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>
      <c r="A292" s="7"/>
      <c r="B292" s="10"/>
      <c r="C292" s="114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>
      <c r="A293" s="7"/>
      <c r="B293" s="10"/>
      <c r="C293" s="114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>
      <c r="A294" s="7"/>
      <c r="B294" s="10"/>
      <c r="C294" s="114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>
      <c r="A295" s="7"/>
      <c r="B295" s="10"/>
      <c r="C295" s="114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>
      <c r="A296" s="7"/>
      <c r="B296" s="10"/>
      <c r="C296" s="114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>
      <c r="A297" s="7"/>
      <c r="B297" s="10"/>
      <c r="C297" s="114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7"/>
      <c r="B298" s="10"/>
      <c r="C298" s="114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7"/>
      <c r="B299" s="10"/>
      <c r="C299" s="114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7"/>
      <c r="B300" s="10"/>
      <c r="C300" s="114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>
      <c r="A301" s="7"/>
      <c r="B301" s="10"/>
      <c r="C301" s="114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>
      <c r="A302" s="7"/>
      <c r="B302" s="10"/>
      <c r="C302" s="114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>
      <c r="A303" s="7"/>
      <c r="B303" s="10"/>
      <c r="C303" s="114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>
      <c r="A304" s="7"/>
      <c r="B304" s="10"/>
      <c r="C304" s="114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>
      <c r="A305" s="7"/>
      <c r="B305" s="10"/>
      <c r="C305" s="114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>
      <c r="A306" s="7"/>
      <c r="B306" s="10"/>
      <c r="C306" s="114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>
      <c r="A307" s="7"/>
      <c r="B307" s="10"/>
      <c r="C307" s="114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>
      <c r="A308" s="7"/>
      <c r="B308" s="10"/>
      <c r="C308" s="114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7"/>
      <c r="B309" s="10"/>
      <c r="C309" s="114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>
      <c r="A310" s="7"/>
      <c r="B310" s="10"/>
      <c r="C310" s="114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>
      <c r="A311" s="7"/>
      <c r="B311" s="10"/>
      <c r="C311" s="114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>
      <c r="A312" s="7"/>
      <c r="B312" s="10"/>
      <c r="C312" s="114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>
      <c r="A313" s="7"/>
      <c r="B313" s="10"/>
      <c r="C313" s="114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>
      <c r="A314" s="7"/>
      <c r="B314" s="10"/>
      <c r="C314" s="114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>
      <c r="A315" s="7"/>
      <c r="B315" s="10"/>
      <c r="C315" s="114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>
      <c r="A316" s="7"/>
      <c r="B316" s="10"/>
      <c r="C316" s="114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7"/>
      <c r="B317" s="10"/>
      <c r="C317" s="114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7"/>
      <c r="B318" s="10"/>
      <c r="C318" s="114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7"/>
      <c r="B319" s="10"/>
      <c r="C319" s="114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7"/>
      <c r="B320" s="10"/>
      <c r="C320" s="114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7"/>
      <c r="B321" s="10"/>
      <c r="C321" s="114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7"/>
      <c r="B322" s="10"/>
      <c r="C322" s="114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7"/>
      <c r="B323" s="10"/>
      <c r="C323" s="114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7"/>
      <c r="B324" s="10"/>
      <c r="C324" s="114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7"/>
      <c r="B325" s="10"/>
      <c r="C325" s="114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7"/>
      <c r="B326" s="10"/>
      <c r="C326" s="114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7"/>
      <c r="B327" s="10"/>
      <c r="C327" s="114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7"/>
      <c r="B328" s="10"/>
      <c r="C328" s="114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7"/>
      <c r="B329" s="10"/>
      <c r="C329" s="114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7"/>
      <c r="B330" s="10"/>
      <c r="C330" s="114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7"/>
      <c r="B331" s="10"/>
      <c r="C331" s="114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7"/>
      <c r="B332" s="10"/>
      <c r="C332" s="114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7"/>
      <c r="B333" s="10"/>
      <c r="C333" s="114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7"/>
      <c r="B334" s="10"/>
      <c r="C334" s="114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7"/>
      <c r="B335" s="10"/>
      <c r="C335" s="114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7"/>
      <c r="B336" s="10"/>
      <c r="C336" s="114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7"/>
      <c r="B337" s="10"/>
      <c r="C337" s="114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7"/>
      <c r="B338" s="10"/>
      <c r="C338" s="114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7"/>
      <c r="B339" s="10"/>
      <c r="C339" s="114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7"/>
      <c r="B340" s="10"/>
      <c r="C340" s="114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7"/>
      <c r="B341" s="10"/>
      <c r="C341" s="114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7"/>
      <c r="B342" s="10"/>
      <c r="C342" s="114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7"/>
      <c r="B343" s="10"/>
      <c r="C343" s="114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7"/>
      <c r="B344" s="10"/>
      <c r="C344" s="114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7"/>
      <c r="B345" s="10"/>
      <c r="C345" s="114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7"/>
      <c r="B346" s="10"/>
      <c r="C346" s="114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7"/>
      <c r="B347" s="10"/>
      <c r="C347" s="114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7"/>
      <c r="B348" s="10"/>
      <c r="C348" s="114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7"/>
      <c r="B349" s="10"/>
      <c r="C349" s="114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7"/>
      <c r="B350" s="10"/>
      <c r="C350" s="114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7"/>
      <c r="B351" s="10"/>
      <c r="C351" s="114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7"/>
      <c r="B352" s="10"/>
      <c r="C352" s="114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7"/>
      <c r="B353" s="10"/>
      <c r="C353" s="114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7"/>
      <c r="B354" s="10"/>
      <c r="C354" s="114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7"/>
      <c r="B355" s="10"/>
      <c r="C355" s="114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7"/>
      <c r="B356" s="10"/>
      <c r="C356" s="114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7"/>
      <c r="B357" s="10"/>
      <c r="C357" s="114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7"/>
      <c r="B358" s="10"/>
      <c r="C358" s="114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7"/>
      <c r="B359" s="10"/>
      <c r="C359" s="114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7"/>
      <c r="B360" s="10"/>
      <c r="C360" s="114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7"/>
      <c r="B361" s="10"/>
      <c r="C361" s="114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7"/>
      <c r="B362" s="10"/>
      <c r="C362" s="114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7"/>
      <c r="B363" s="10"/>
      <c r="C363" s="114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7"/>
      <c r="B364" s="10"/>
      <c r="C364" s="114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7"/>
      <c r="B365" s="10"/>
      <c r="C365" s="114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7"/>
      <c r="B366" s="10"/>
      <c r="C366" s="114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7"/>
      <c r="B367" s="10"/>
      <c r="C367" s="114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7"/>
      <c r="B368" s="10"/>
      <c r="C368" s="114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7"/>
      <c r="B369" s="10"/>
      <c r="C369" s="114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7"/>
      <c r="B370" s="10"/>
      <c r="C370" s="114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7"/>
      <c r="B371" s="10"/>
      <c r="C371" s="114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7"/>
      <c r="B372" s="10"/>
      <c r="C372" s="114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7"/>
      <c r="B373" s="10"/>
      <c r="C373" s="114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7"/>
      <c r="B374" s="10"/>
      <c r="C374" s="114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7"/>
      <c r="B375" s="10"/>
      <c r="C375" s="114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7"/>
      <c r="B376" s="10"/>
      <c r="C376" s="114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7"/>
      <c r="B377" s="10"/>
      <c r="C377" s="114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7"/>
      <c r="B378" s="10"/>
      <c r="C378" s="114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7"/>
      <c r="B379" s="10"/>
      <c r="C379" s="114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7"/>
      <c r="B380" s="10"/>
      <c r="C380" s="114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7"/>
      <c r="B381" s="10"/>
      <c r="C381" s="114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7"/>
      <c r="B382" s="10"/>
      <c r="C382" s="114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7"/>
      <c r="B383" s="10"/>
      <c r="C383" s="114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7"/>
      <c r="B384" s="10"/>
      <c r="C384" s="114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7"/>
      <c r="B385" s="10"/>
      <c r="C385" s="114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7"/>
      <c r="B386" s="10"/>
      <c r="C386" s="114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7"/>
      <c r="B387" s="10"/>
      <c r="C387" s="114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7"/>
      <c r="B388" s="10"/>
      <c r="C388" s="114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7"/>
      <c r="B389" s="10"/>
      <c r="C389" s="114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7"/>
      <c r="B390" s="10"/>
      <c r="C390" s="114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7"/>
      <c r="B391" s="10"/>
      <c r="C391" s="114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7"/>
      <c r="B392" s="10"/>
      <c r="C392" s="114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7"/>
      <c r="B393" s="10"/>
      <c r="C393" s="114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7"/>
      <c r="B394" s="10"/>
      <c r="C394" s="114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>
      <c r="A395" s="7"/>
      <c r="B395" s="10"/>
      <c r="C395" s="114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>
      <c r="A396" s="7"/>
      <c r="B396" s="10"/>
      <c r="C396" s="114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>
      <c r="A397" s="7"/>
      <c r="B397" s="10"/>
      <c r="C397" s="114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>
      <c r="A398" s="7"/>
      <c r="B398" s="10"/>
      <c r="C398" s="114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>
      <c r="A399" s="7"/>
      <c r="B399" s="10"/>
      <c r="C399" s="114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>
      <c r="A400" s="7"/>
      <c r="B400" s="10"/>
      <c r="C400" s="114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>
      <c r="A401" s="7"/>
      <c r="B401" s="10"/>
      <c r="C401" s="114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>
      <c r="A402" s="7"/>
      <c r="B402" s="10"/>
      <c r="C402" s="114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>
      <c r="A403" s="7"/>
      <c r="B403" s="10"/>
      <c r="C403" s="114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>
      <c r="A404" s="7"/>
      <c r="B404" s="10"/>
      <c r="C404" s="114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>
      <c r="A405" s="7"/>
      <c r="B405" s="10"/>
      <c r="C405" s="114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>
      <c r="A406" s="7"/>
      <c r="B406" s="10"/>
      <c r="C406" s="114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>
      <c r="A407" s="7"/>
      <c r="B407" s="10"/>
      <c r="C407" s="114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>
      <c r="A408" s="7"/>
      <c r="B408" s="10"/>
      <c r="C408" s="114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>
      <c r="A409" s="7"/>
      <c r="B409" s="10"/>
      <c r="C409" s="114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>
      <c r="A410" s="7"/>
      <c r="B410" s="10"/>
      <c r="C410" s="114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>
      <c r="A411" s="7"/>
      <c r="B411" s="10"/>
      <c r="C411" s="114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>
      <c r="A412" s="7"/>
      <c r="B412" s="10"/>
      <c r="C412" s="114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>
      <c r="A413" s="7"/>
      <c r="B413" s="10"/>
      <c r="C413" s="114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>
      <c r="A414" s="7"/>
      <c r="B414" s="10"/>
      <c r="C414" s="114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>
      <c r="A415" s="7"/>
      <c r="B415" s="10"/>
      <c r="C415" s="114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>
      <c r="A416" s="7"/>
      <c r="B416" s="10"/>
      <c r="C416" s="114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>
      <c r="A417" s="7"/>
      <c r="B417" s="10"/>
      <c r="C417" s="114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>
      <c r="A418" s="7"/>
      <c r="B418" s="10"/>
      <c r="C418" s="114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>
      <c r="A419" s="7"/>
      <c r="B419" s="10"/>
      <c r="C419" s="114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>
      <c r="A420" s="7"/>
      <c r="B420" s="10"/>
      <c r="C420" s="114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>
      <c r="A421" s="7"/>
      <c r="B421" s="10"/>
      <c r="C421" s="114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>
      <c r="A422" s="7"/>
      <c r="B422" s="10"/>
      <c r="C422" s="114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>
      <c r="A423" s="7"/>
      <c r="B423" s="10"/>
      <c r="C423" s="114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>
      <c r="A424" s="7"/>
      <c r="B424" s="10"/>
      <c r="C424" s="114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>
      <c r="A425" s="7"/>
      <c r="B425" s="10"/>
      <c r="C425" s="114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>
      <c r="A426" s="7"/>
      <c r="B426" s="10"/>
      <c r="C426" s="114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>
      <c r="A427" s="7"/>
      <c r="B427" s="10"/>
      <c r="C427" s="114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>
      <c r="A428" s="7"/>
      <c r="B428" s="10"/>
      <c r="C428" s="114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>
      <c r="A429" s="7"/>
      <c r="B429" s="10"/>
      <c r="C429" s="114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>
      <c r="A430" s="7"/>
      <c r="B430" s="10"/>
      <c r="C430" s="114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>
      <c r="A431" s="7"/>
      <c r="B431" s="10"/>
      <c r="C431" s="114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>
      <c r="A432" s="7"/>
      <c r="B432" s="10"/>
      <c r="C432" s="114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>
      <c r="A433" s="7"/>
      <c r="B433" s="10"/>
      <c r="C433" s="114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>
      <c r="A434" s="7"/>
      <c r="B434" s="10"/>
      <c r="C434" s="114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>
      <c r="A435" s="7"/>
      <c r="B435" s="10"/>
      <c r="C435" s="114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>
      <c r="A436" s="7"/>
      <c r="B436" s="10"/>
      <c r="C436" s="114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>
      <c r="A437" s="7"/>
      <c r="B437" s="10"/>
      <c r="C437" s="114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>
      <c r="A438" s="7"/>
      <c r="B438" s="10"/>
      <c r="C438" s="114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>
      <c r="A439" s="7"/>
      <c r="B439" s="10"/>
      <c r="C439" s="114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>
      <c r="A440" s="7"/>
      <c r="B440" s="10"/>
      <c r="C440" s="114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">
      <c r="A441" s="7"/>
      <c r="B441" s="10"/>
      <c r="C441" s="114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>
      <c r="A442" s="7"/>
      <c r="B442" s="10"/>
      <c r="C442" s="114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">
      <c r="A443" s="7"/>
      <c r="B443" s="10"/>
      <c r="C443" s="114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">
      <c r="A444" s="7"/>
      <c r="B444" s="10"/>
      <c r="C444" s="114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>
      <c r="A445" s="7"/>
      <c r="B445" s="10"/>
      <c r="C445" s="114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">
      <c r="A446" s="7"/>
      <c r="B446" s="10"/>
      <c r="C446" s="114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>
      <c r="A447" s="7"/>
      <c r="B447" s="10"/>
      <c r="C447" s="114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">
      <c r="A448" s="7"/>
      <c r="B448" s="10"/>
      <c r="C448" s="114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">
      <c r="A449" s="7"/>
      <c r="B449" s="10"/>
      <c r="C449" s="114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">
      <c r="A450" s="7"/>
      <c r="B450" s="10"/>
      <c r="C450" s="114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">
      <c r="A451" s="7"/>
      <c r="B451" s="10"/>
      <c r="C451" s="114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>
      <c r="A452" s="7"/>
      <c r="B452" s="10"/>
      <c r="C452" s="114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">
      <c r="A453" s="7"/>
      <c r="B453" s="10"/>
      <c r="C453" s="114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">
      <c r="A454" s="7"/>
      <c r="B454" s="10"/>
      <c r="C454" s="114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">
      <c r="A455" s="7"/>
      <c r="B455" s="10"/>
      <c r="C455" s="114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">
      <c r="A456" s="7"/>
      <c r="B456" s="10"/>
      <c r="C456" s="114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">
      <c r="A457" s="7"/>
      <c r="B457" s="10"/>
      <c r="C457" s="114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>
      <c r="A458" s="7"/>
      <c r="B458" s="10"/>
      <c r="C458" s="114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>
      <c r="A459" s="7"/>
      <c r="B459" s="10"/>
      <c r="C459" s="114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>
      <c r="A460" s="7"/>
      <c r="B460" s="10"/>
      <c r="C460" s="114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>
      <c r="A461" s="7"/>
      <c r="B461" s="10"/>
      <c r="C461" s="114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>
      <c r="A462" s="7"/>
      <c r="B462" s="10"/>
      <c r="C462" s="114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>
      <c r="A463" s="7"/>
      <c r="B463" s="10"/>
      <c r="C463" s="114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>
      <c r="A464" s="7"/>
      <c r="B464" s="10"/>
      <c r="C464" s="114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>
      <c r="A465" s="7"/>
      <c r="B465" s="10"/>
      <c r="C465" s="114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>
      <c r="A466" s="7"/>
      <c r="B466" s="10"/>
      <c r="C466" s="114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>
      <c r="A467" s="7"/>
      <c r="B467" s="10"/>
      <c r="C467" s="114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>
      <c r="A468" s="7"/>
      <c r="B468" s="10"/>
      <c r="C468" s="114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>
      <c r="A469" s="7"/>
      <c r="B469" s="10"/>
      <c r="C469" s="114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>
      <c r="A470" s="7"/>
      <c r="B470" s="10"/>
      <c r="C470" s="114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>
      <c r="A471" s="7"/>
      <c r="B471" s="10"/>
      <c r="C471" s="114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>
      <c r="A472" s="7"/>
      <c r="B472" s="10"/>
      <c r="C472" s="114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>
      <c r="A473" s="7"/>
      <c r="B473" s="10"/>
      <c r="C473" s="114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">
      <c r="A474" s="7"/>
      <c r="B474" s="10"/>
      <c r="C474" s="114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">
      <c r="A475" s="7"/>
      <c r="B475" s="10"/>
      <c r="C475" s="114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">
      <c r="A476" s="7"/>
      <c r="B476" s="10"/>
      <c r="C476" s="114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">
      <c r="A477" s="7"/>
      <c r="B477" s="10"/>
      <c r="C477" s="114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">
      <c r="A478" s="7"/>
      <c r="B478" s="10"/>
      <c r="C478" s="114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">
      <c r="A479" s="7"/>
      <c r="B479" s="10"/>
      <c r="C479" s="114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>
      <c r="A480" s="7"/>
      <c r="B480" s="10"/>
      <c r="C480" s="114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">
      <c r="A481" s="7"/>
      <c r="B481" s="10"/>
      <c r="C481" s="114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">
      <c r="A482" s="7"/>
      <c r="B482" s="10"/>
      <c r="C482" s="114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">
      <c r="A483" s="7"/>
      <c r="B483" s="10"/>
      <c r="C483" s="114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">
      <c r="A484" s="7"/>
      <c r="B484" s="10"/>
      <c r="C484" s="114"/>
      <c r="D484" s="1"/>
      <c r="E484" s="1"/>
      <c r="F484" s="1"/>
      <c r="G484" s="1"/>
      <c r="H484" s="1"/>
      <c r="I484" s="1"/>
      <c r="J484" s="1"/>
      <c r="K484" s="1"/>
      <c r="L484" s="1"/>
      <c r="M484" s="1"/>
    </row>
  </sheetData>
  <mergeCells count="4">
    <mergeCell ref="A1:M1"/>
    <mergeCell ref="A11:C11"/>
    <mergeCell ref="D9:G9"/>
    <mergeCell ref="H9:M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  <rowBreaks count="3" manualBreakCount="3">
    <brk id="74" max="255" man="1"/>
    <brk id="136" max="255" man="1"/>
    <brk id="1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0"/>
  <sheetViews>
    <sheetView showGridLines="0" view="pageBreakPreview" zoomScale="150" zoomScaleNormal="140" zoomScaleSheetLayoutView="150" workbookViewId="0" topLeftCell="B46">
      <selection activeCell="C52" sqref="C52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30.8984375" style="115" customWidth="1"/>
    <col min="4" max="13" width="7.796875" style="0" customWidth="1"/>
    <col min="14" max="16384" width="11.59765625" style="0" customWidth="1"/>
  </cols>
  <sheetData>
    <row r="1" spans="1:14" s="3" customFormat="1" ht="15" customHeight="1">
      <c r="A1" s="287" t="s">
        <v>145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3" t="s">
        <v>562</v>
      </c>
    </row>
    <row r="3" spans="1:13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5">
      <c r="A4" s="43" t="s">
        <v>131</v>
      </c>
      <c r="B4" s="9"/>
      <c r="C4" s="96"/>
      <c r="D4" s="2" t="s">
        <v>223</v>
      </c>
      <c r="E4"/>
      <c r="F4" s="2"/>
      <c r="G4" s="2"/>
      <c r="H4" s="2"/>
      <c r="I4" s="2"/>
      <c r="J4" s="2"/>
      <c r="K4" s="2"/>
      <c r="L4" s="2"/>
      <c r="M4" s="2"/>
    </row>
    <row r="5" spans="1:13" s="3" customFormat="1" ht="15">
      <c r="A5" s="43" t="s">
        <v>137</v>
      </c>
      <c r="B5" s="9"/>
      <c r="C5" s="96"/>
      <c r="D5" s="2" t="s">
        <v>224</v>
      </c>
      <c r="E5"/>
      <c r="F5" s="2"/>
      <c r="G5" s="2"/>
      <c r="H5" s="2"/>
      <c r="I5" s="2"/>
      <c r="J5" s="2"/>
      <c r="K5" s="2"/>
      <c r="L5" s="2"/>
      <c r="M5" s="2"/>
    </row>
    <row r="6" spans="1:13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  <c r="M6" s="2"/>
    </row>
    <row r="7" spans="1:13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  <c r="M7" s="2"/>
    </row>
    <row r="8" spans="1:13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  <c r="M8" s="2"/>
    </row>
    <row r="9" spans="1:13" s="3" customFormat="1" ht="12.75" customHeight="1">
      <c r="A9" s="6"/>
      <c r="B9" s="9"/>
      <c r="C9" s="97"/>
      <c r="D9" s="291" t="s">
        <v>149</v>
      </c>
      <c r="E9" s="292"/>
      <c r="F9" s="292"/>
      <c r="G9" s="293"/>
      <c r="H9" s="291" t="s">
        <v>150</v>
      </c>
      <c r="I9" s="292"/>
      <c r="J9" s="292"/>
      <c r="K9" s="292"/>
      <c r="L9" s="292"/>
      <c r="M9" s="293"/>
    </row>
    <row r="10" spans="1:13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213</v>
      </c>
      <c r="L10" s="44" t="s">
        <v>618</v>
      </c>
      <c r="M10" s="33" t="s">
        <v>4</v>
      </c>
    </row>
    <row r="11" spans="1:13" s="14" customFormat="1" ht="13.5" thickBot="1">
      <c r="A11" s="288" t="s">
        <v>133</v>
      </c>
      <c r="B11" s="289"/>
      <c r="C11" s="290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0" t="s">
        <v>5</v>
      </c>
    </row>
    <row r="12" spans="1:13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1"/>
      <c r="M12" s="52"/>
    </row>
    <row r="13" spans="1:13" s="3" customFormat="1" ht="12.75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7"/>
      <c r="M13" s="78"/>
    </row>
    <row r="14" spans="1:13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6"/>
      <c r="M14" s="57"/>
    </row>
    <row r="15" spans="1:14" s="3" customFormat="1" ht="12.75">
      <c r="A15" s="25"/>
      <c r="B15" s="26" t="s">
        <v>8</v>
      </c>
      <c r="C15" s="101" t="s">
        <v>151</v>
      </c>
      <c r="D15" s="16">
        <f>'detailed GEF budget'!D15</f>
        <v>281060.38957461336</v>
      </c>
      <c r="E15" s="16">
        <f>'detailed GEF budget'!E15</f>
        <v>281060.38957461336</v>
      </c>
      <c r="F15" s="16">
        <f>'detailed GEF budget'!F15</f>
        <v>281060.38957461336</v>
      </c>
      <c r="G15" s="23">
        <f>SUM(D15:F15)</f>
        <v>843181.16872384</v>
      </c>
      <c r="H15" s="16">
        <f>'detailed GEF budget'!H15</f>
        <v>163638</v>
      </c>
      <c r="I15" s="16">
        <f>'detailed GEF budget'!I15</f>
        <v>167591.83</v>
      </c>
      <c r="J15" s="16">
        <f>'detailed GEF budget'!J15</f>
        <v>174295.5032</v>
      </c>
      <c r="K15" s="16">
        <f>'detailed GEF budget'!K15</f>
        <v>181267.323328</v>
      </c>
      <c r="L15" s="16">
        <f>'detailed GEF budget'!L15</f>
        <v>156388.51219584</v>
      </c>
      <c r="M15" s="23">
        <f>SUM(H15:L15)</f>
        <v>843181.16872384</v>
      </c>
      <c r="N15" s="3">
        <f>G15-M15</f>
        <v>0</v>
      </c>
    </row>
    <row r="16" spans="1:14" s="3" customFormat="1" ht="12.75">
      <c r="A16" s="25"/>
      <c r="B16" s="26" t="s">
        <v>9</v>
      </c>
      <c r="C16" s="101" t="s">
        <v>152</v>
      </c>
      <c r="D16" s="16">
        <f>'detailed GEF budget'!D16</f>
        <v>201679.42866666664</v>
      </c>
      <c r="E16" s="16">
        <f>'detailed GEF budget'!E16</f>
        <v>201679.42866666664</v>
      </c>
      <c r="F16" s="16">
        <f>'detailed GEF budget'!F16</f>
        <v>201679.42866666664</v>
      </c>
      <c r="G16" s="23">
        <f>SUM(D16:F16)</f>
        <v>605038.286</v>
      </c>
      <c r="H16" s="16">
        <f>'detailed GEF budget'!H16</f>
        <v>115801</v>
      </c>
      <c r="I16" s="16">
        <f>'detailed GEF budget'!I16</f>
        <v>118618.92</v>
      </c>
      <c r="J16" s="16">
        <f>'detailed GEF budget'!J16</f>
        <v>124023.99</v>
      </c>
      <c r="K16" s="16">
        <f>'detailed GEF budget'!K16</f>
        <v>130109.20000000001</v>
      </c>
      <c r="L16" s="16">
        <f>'detailed GEF budget'!L16</f>
        <v>116485.17600000002</v>
      </c>
      <c r="M16" s="23">
        <f>SUM(H16:L16)</f>
        <v>605038.286</v>
      </c>
      <c r="N16" s="3">
        <f aca="true" t="shared" si="0" ref="N16:N62">G16-M16</f>
        <v>0</v>
      </c>
    </row>
    <row r="17" spans="1:14" s="3" customFormat="1" ht="12.75">
      <c r="A17" s="25"/>
      <c r="B17" s="39" t="s">
        <v>10</v>
      </c>
      <c r="C17" s="102" t="s">
        <v>138</v>
      </c>
      <c r="D17" s="17">
        <f aca="true" t="shared" si="1" ref="D17:M17">SUM(D15:D16)</f>
        <v>482739.81824128004</v>
      </c>
      <c r="E17" s="17">
        <f t="shared" si="1"/>
        <v>482739.81824128004</v>
      </c>
      <c r="F17" s="17">
        <f t="shared" si="1"/>
        <v>482739.81824128004</v>
      </c>
      <c r="G17" s="17">
        <f t="shared" si="1"/>
        <v>1448219.45472384</v>
      </c>
      <c r="H17" s="17">
        <f t="shared" si="1"/>
        <v>279439</v>
      </c>
      <c r="I17" s="17">
        <f t="shared" si="1"/>
        <v>286210.75</v>
      </c>
      <c r="J17" s="17">
        <f t="shared" si="1"/>
        <v>298319.4932</v>
      </c>
      <c r="K17" s="17">
        <f t="shared" si="1"/>
        <v>311376.523328</v>
      </c>
      <c r="L17" s="17">
        <f t="shared" si="1"/>
        <v>272873.68819584005</v>
      </c>
      <c r="M17" s="17">
        <f t="shared" si="1"/>
        <v>1448219.45472384</v>
      </c>
      <c r="N17" s="3">
        <f t="shared" si="0"/>
        <v>0</v>
      </c>
    </row>
    <row r="18" spans="1:14" s="3" customFormat="1" ht="12.75">
      <c r="A18" s="59"/>
      <c r="B18" s="60" t="s">
        <v>11</v>
      </c>
      <c r="C18" s="103" t="s">
        <v>108</v>
      </c>
      <c r="D18" s="61"/>
      <c r="E18" s="61"/>
      <c r="F18" s="61"/>
      <c r="G18" s="62"/>
      <c r="H18" s="63"/>
      <c r="I18" s="61"/>
      <c r="J18" s="61"/>
      <c r="K18" s="61"/>
      <c r="L18" s="61"/>
      <c r="M18" s="64"/>
      <c r="N18" s="3">
        <f t="shared" si="0"/>
        <v>0</v>
      </c>
    </row>
    <row r="19" spans="1:14" s="3" customFormat="1" ht="12.75">
      <c r="A19" s="54"/>
      <c r="B19" s="55"/>
      <c r="C19" s="100" t="s">
        <v>114</v>
      </c>
      <c r="D19" s="56"/>
      <c r="E19" s="56"/>
      <c r="F19" s="56"/>
      <c r="G19" s="57"/>
      <c r="H19" s="58"/>
      <c r="I19" s="56"/>
      <c r="J19" s="56"/>
      <c r="K19" s="56"/>
      <c r="L19" s="56"/>
      <c r="M19" s="65"/>
      <c r="N19" s="3">
        <f t="shared" si="0"/>
        <v>0</v>
      </c>
    </row>
    <row r="20" spans="1:14" s="3" customFormat="1" ht="25.5">
      <c r="A20" s="25"/>
      <c r="B20" s="26" t="s">
        <v>12</v>
      </c>
      <c r="C20" s="101" t="s">
        <v>218</v>
      </c>
      <c r="D20" s="16">
        <f>'detailed GEF budget'!D20</f>
        <v>25761.460000000003</v>
      </c>
      <c r="E20" s="16">
        <f>'detailed GEF budget'!E20</f>
        <v>25761.460000000003</v>
      </c>
      <c r="F20" s="16">
        <f>'detailed GEF budget'!F20</f>
        <v>25761.460000000003</v>
      </c>
      <c r="G20" s="23">
        <f>SUM(D20:F20)</f>
        <v>77284.38</v>
      </c>
      <c r="H20" s="16">
        <f>'detailed GEF budget'!H20</f>
        <v>77284.38</v>
      </c>
      <c r="I20" s="16">
        <f>'detailed GEF budget'!I20</f>
        <v>0</v>
      </c>
      <c r="J20" s="16">
        <f>'detailed GEF budget'!J20</f>
        <v>0</v>
      </c>
      <c r="K20" s="16">
        <f>'detailed GEF budget'!K20</f>
        <v>0</v>
      </c>
      <c r="L20" s="16">
        <f>'detailed GEF budget'!L20</f>
        <v>0</v>
      </c>
      <c r="M20" s="23">
        <f>SUM(H20:L20)</f>
        <v>77284.38</v>
      </c>
      <c r="N20" s="3">
        <f t="shared" si="0"/>
        <v>0</v>
      </c>
    </row>
    <row r="21" spans="1:14" s="3" customFormat="1" ht="12.75">
      <c r="A21" s="25"/>
      <c r="B21" s="26" t="s">
        <v>13</v>
      </c>
      <c r="C21" s="101" t="s">
        <v>559</v>
      </c>
      <c r="D21" s="16">
        <f>SUM('detailed GEF budget'!D21:D25)</f>
        <v>146961.86</v>
      </c>
      <c r="E21" s="16">
        <f>SUM('detailed GEF budget'!E21:E25)</f>
        <v>0</v>
      </c>
      <c r="F21" s="16">
        <f>SUM('detailed GEF budget'!F21:F25)</f>
        <v>0</v>
      </c>
      <c r="G21" s="23">
        <f>SUM(D21:F21)</f>
        <v>146961.86</v>
      </c>
      <c r="H21" s="16">
        <f>SUM('detailed GEF budget'!H21:H25)</f>
        <v>102961.86</v>
      </c>
      <c r="I21" s="16">
        <f>SUM('detailed GEF budget'!I21:I25)</f>
        <v>0</v>
      </c>
      <c r="J21" s="16">
        <f>SUM('detailed GEF budget'!J21:J25)</f>
        <v>26000</v>
      </c>
      <c r="K21" s="16">
        <f>SUM('detailed GEF budget'!K21:K25)</f>
        <v>9000</v>
      </c>
      <c r="L21" s="16">
        <f>SUM('detailed GEF budget'!L21:L25)</f>
        <v>9000</v>
      </c>
      <c r="M21" s="23">
        <f>SUM(H21:L21)</f>
        <v>146961.86</v>
      </c>
      <c r="N21" s="3">
        <f t="shared" si="0"/>
        <v>0</v>
      </c>
    </row>
    <row r="22" spans="1:14" s="3" customFormat="1" ht="12.75">
      <c r="A22" s="25"/>
      <c r="B22" s="26" t="s">
        <v>14</v>
      </c>
      <c r="C22" s="101" t="s">
        <v>560</v>
      </c>
      <c r="D22" s="16">
        <f>SUM('detailed GEF budget'!D26:D36)</f>
        <v>0</v>
      </c>
      <c r="E22" s="16">
        <f>SUM('detailed GEF budget'!E26:E36)</f>
        <v>280000</v>
      </c>
      <c r="F22" s="16">
        <f>SUM('detailed GEF budget'!F26:F36)</f>
        <v>0</v>
      </c>
      <c r="G22" s="23">
        <f>SUM(D22:F22)</f>
        <v>280000</v>
      </c>
      <c r="H22" s="16">
        <f>SUM('detailed GEF budget'!H26:H36)</f>
        <v>10000</v>
      </c>
      <c r="I22" s="16">
        <f>SUM('detailed GEF budget'!I26:I36)</f>
        <v>33000</v>
      </c>
      <c r="J22" s="16">
        <f>SUM('detailed GEF budget'!J26:J36)</f>
        <v>172500</v>
      </c>
      <c r="K22" s="16">
        <f>SUM('detailed GEF budget'!K26:K36)</f>
        <v>33250</v>
      </c>
      <c r="L22" s="16">
        <f>SUM('detailed GEF budget'!L26:L36)</f>
        <v>31250</v>
      </c>
      <c r="M22" s="23">
        <f>SUM(H22:L22)</f>
        <v>280000</v>
      </c>
      <c r="N22" s="3">
        <f t="shared" si="0"/>
        <v>0</v>
      </c>
    </row>
    <row r="23" spans="1:14" s="3" customFormat="1" ht="12.75">
      <c r="A23" s="25"/>
      <c r="B23" s="26" t="s">
        <v>153</v>
      </c>
      <c r="C23" s="101" t="s">
        <v>561</v>
      </c>
      <c r="D23" s="16">
        <f>SUM('detailed GEF budget'!D37:D42)</f>
        <v>0</v>
      </c>
      <c r="E23" s="16">
        <f>SUM('detailed GEF budget'!E37:E42)</f>
        <v>0</v>
      </c>
      <c r="F23" s="16">
        <f>SUM('detailed GEF budget'!F37:F42)</f>
        <v>49397.020000000004</v>
      </c>
      <c r="G23" s="23">
        <f>SUM(D23:F23)</f>
        <v>49397.020000000004</v>
      </c>
      <c r="H23" s="16">
        <f>SUM('detailed GEF budget'!H37:H42)</f>
        <v>16597.02</v>
      </c>
      <c r="I23" s="16">
        <f>SUM('detailed GEF budget'!I37:I42)</f>
        <v>0</v>
      </c>
      <c r="J23" s="16">
        <f>SUM('detailed GEF budget'!J37:J42)</f>
        <v>0</v>
      </c>
      <c r="K23" s="16">
        <f>SUM('detailed GEF budget'!K37:K42)</f>
        <v>23800</v>
      </c>
      <c r="L23" s="16">
        <f>SUM('detailed GEF budget'!L37:L42)</f>
        <v>9000</v>
      </c>
      <c r="M23" s="23">
        <f>SUM(H23:L23)</f>
        <v>49397.020000000004</v>
      </c>
      <c r="N23" s="3">
        <f t="shared" si="0"/>
        <v>0</v>
      </c>
    </row>
    <row r="24" spans="1:14" s="3" customFormat="1" ht="12.75">
      <c r="A24" s="25"/>
      <c r="B24" s="39" t="s">
        <v>15</v>
      </c>
      <c r="C24" s="102" t="s">
        <v>138</v>
      </c>
      <c r="D24" s="17">
        <f aca="true" t="shared" si="2" ref="D24:M24">SUM(D20:D23)</f>
        <v>172723.31999999998</v>
      </c>
      <c r="E24" s="17">
        <f t="shared" si="2"/>
        <v>305761.46</v>
      </c>
      <c r="F24" s="17">
        <f t="shared" si="2"/>
        <v>75158.48000000001</v>
      </c>
      <c r="G24" s="23">
        <f t="shared" si="2"/>
        <v>553643.26</v>
      </c>
      <c r="H24" s="47">
        <f t="shared" si="2"/>
        <v>206843.25999999998</v>
      </c>
      <c r="I24" s="17">
        <f t="shared" si="2"/>
        <v>33000</v>
      </c>
      <c r="J24" s="17">
        <f t="shared" si="2"/>
        <v>198500</v>
      </c>
      <c r="K24" s="17">
        <f t="shared" si="2"/>
        <v>66050</v>
      </c>
      <c r="L24" s="17">
        <f t="shared" si="2"/>
        <v>49250</v>
      </c>
      <c r="M24" s="23">
        <f t="shared" si="2"/>
        <v>553643.26</v>
      </c>
      <c r="N24" s="3">
        <f t="shared" si="0"/>
        <v>0</v>
      </c>
    </row>
    <row r="25" spans="1:14" s="3" customFormat="1" ht="12.75">
      <c r="A25" s="59"/>
      <c r="B25" s="66" t="s">
        <v>16</v>
      </c>
      <c r="C25" s="104" t="s">
        <v>95</v>
      </c>
      <c r="D25" s="61"/>
      <c r="E25" s="61"/>
      <c r="F25" s="61"/>
      <c r="G25" s="62"/>
      <c r="H25" s="63"/>
      <c r="I25" s="61"/>
      <c r="J25" s="61"/>
      <c r="K25" s="61"/>
      <c r="L25" s="61"/>
      <c r="M25" s="64"/>
      <c r="N25" s="3">
        <f t="shared" si="0"/>
        <v>0</v>
      </c>
    </row>
    <row r="26" spans="1:14" s="3" customFormat="1" ht="12.75">
      <c r="A26" s="54"/>
      <c r="B26" s="67"/>
      <c r="C26" s="100" t="s">
        <v>113</v>
      </c>
      <c r="D26" s="56"/>
      <c r="E26" s="56"/>
      <c r="F26" s="56"/>
      <c r="G26" s="57"/>
      <c r="H26" s="58"/>
      <c r="I26" s="56"/>
      <c r="J26" s="56"/>
      <c r="K26" s="56"/>
      <c r="L26" s="56"/>
      <c r="M26" s="65"/>
      <c r="N26" s="3">
        <f t="shared" si="0"/>
        <v>0</v>
      </c>
    </row>
    <row r="27" spans="1:14" s="3" customFormat="1" ht="12.75">
      <c r="A27" s="25"/>
      <c r="B27" s="39" t="s">
        <v>17</v>
      </c>
      <c r="C27" s="101" t="str">
        <f>'detailed GEF budget'!C46</f>
        <v>Admin. Ass. 44 (w/m)</v>
      </c>
      <c r="D27" s="16">
        <f>'detailed GEF budget'!D46</f>
        <v>17388.758130986665</v>
      </c>
      <c r="E27" s="16">
        <f>'detailed GEF budget'!E46</f>
        <v>17388.758130986665</v>
      </c>
      <c r="F27" s="16">
        <f>'detailed GEF budget'!F46</f>
        <v>17388.758130986665</v>
      </c>
      <c r="G27" s="23">
        <f>SUM(D27:F27)</f>
        <v>52166.27439296</v>
      </c>
      <c r="H27" s="16">
        <f>'detailed GEF budget'!H46</f>
        <v>7638.32</v>
      </c>
      <c r="I27" s="16">
        <f>'detailed GEF budget'!I46</f>
        <v>10485.89</v>
      </c>
      <c r="J27" s="16">
        <f>'detailed GEF budget'!J46</f>
        <v>10905.3256</v>
      </c>
      <c r="K27" s="16">
        <f>'detailed GEF budget'!K46</f>
        <v>11341.538624</v>
      </c>
      <c r="L27" s="16">
        <f>'detailed GEF budget'!L46</f>
        <v>11795.200168960002</v>
      </c>
      <c r="M27" s="23">
        <f>SUM(H27:L27)</f>
        <v>52166.27439296</v>
      </c>
      <c r="N27" s="3">
        <f t="shared" si="0"/>
        <v>0</v>
      </c>
    </row>
    <row r="28" spans="1:13" s="3" customFormat="1" ht="12.75">
      <c r="A28" s="25"/>
      <c r="B28" s="39" t="s">
        <v>18</v>
      </c>
      <c r="C28" s="101" t="str">
        <f>'detailed GEF budget'!C47</f>
        <v>Secretary Salary 44 (w/m)</v>
      </c>
      <c r="D28" s="16">
        <f>'detailed GEF budget'!D47</f>
        <v>16044.794267520001</v>
      </c>
      <c r="E28" s="16">
        <f>'detailed GEF budget'!E47</f>
        <v>16044.794267520001</v>
      </c>
      <c r="F28" s="16">
        <f>'detailed GEF budget'!F47</f>
        <v>16044.794267520001</v>
      </c>
      <c r="G28" s="23">
        <f>SUM(D28:F28)</f>
        <v>48134.38280256</v>
      </c>
      <c r="H28" s="16">
        <f>'detailed GEF budget'!H47</f>
        <v>7093.2</v>
      </c>
      <c r="I28" s="16">
        <f>'detailed GEF budget'!I47</f>
        <v>9664.79</v>
      </c>
      <c r="J28" s="16">
        <f>'detailed GEF budget'!J47</f>
        <v>10051.3816</v>
      </c>
      <c r="K28" s="16">
        <f>'detailed GEF budget'!K47</f>
        <v>10453.436864000001</v>
      </c>
      <c r="L28" s="16">
        <f>'detailed GEF budget'!L47</f>
        <v>10871.574338560002</v>
      </c>
      <c r="M28" s="23">
        <f>SUM(H28:L28)</f>
        <v>48134.38280256</v>
      </c>
    </row>
    <row r="29" spans="1:14" s="3" customFormat="1" ht="12.75">
      <c r="A29" s="25"/>
      <c r="B29" s="39" t="s">
        <v>20</v>
      </c>
      <c r="C29" s="102" t="s">
        <v>138</v>
      </c>
      <c r="D29" s="17">
        <f aca="true" t="shared" si="3" ref="D29:M29">SUM(D27:D28)</f>
        <v>33433.55239850667</v>
      </c>
      <c r="E29" s="17">
        <f t="shared" si="3"/>
        <v>33433.55239850667</v>
      </c>
      <c r="F29" s="17">
        <f t="shared" si="3"/>
        <v>33433.55239850667</v>
      </c>
      <c r="G29" s="17">
        <f t="shared" si="3"/>
        <v>100300.65719552</v>
      </c>
      <c r="H29" s="17">
        <f t="shared" si="3"/>
        <v>14731.52</v>
      </c>
      <c r="I29" s="17">
        <f t="shared" si="3"/>
        <v>20150.68</v>
      </c>
      <c r="J29" s="17">
        <f t="shared" si="3"/>
        <v>20956.7072</v>
      </c>
      <c r="K29" s="17">
        <f t="shared" si="3"/>
        <v>21794.975488000004</v>
      </c>
      <c r="L29" s="17">
        <f t="shared" si="3"/>
        <v>22666.774507520004</v>
      </c>
      <c r="M29" s="17">
        <f t="shared" si="3"/>
        <v>100300.65719552</v>
      </c>
      <c r="N29" s="3">
        <f t="shared" si="0"/>
        <v>0</v>
      </c>
    </row>
    <row r="30" spans="1:14" s="3" customFormat="1" ht="12.75">
      <c r="A30" s="25"/>
      <c r="B30" s="40" t="s">
        <v>21</v>
      </c>
      <c r="C30" s="106" t="s">
        <v>110</v>
      </c>
      <c r="D30" s="15"/>
      <c r="E30" s="15"/>
      <c r="F30" s="15"/>
      <c r="G30" s="34"/>
      <c r="H30" s="27"/>
      <c r="I30" s="15"/>
      <c r="J30" s="15"/>
      <c r="K30" s="15"/>
      <c r="L30" s="15"/>
      <c r="M30" s="23"/>
      <c r="N30" s="3">
        <f t="shared" si="0"/>
        <v>0</v>
      </c>
    </row>
    <row r="31" spans="1:14" s="3" customFormat="1" ht="12.75">
      <c r="A31" s="25"/>
      <c r="B31" s="39" t="s">
        <v>22</v>
      </c>
      <c r="C31" s="105"/>
      <c r="D31" s="15"/>
      <c r="E31" s="15"/>
      <c r="F31" s="15"/>
      <c r="G31" s="23">
        <f>SUM(D31:F31)</f>
        <v>0</v>
      </c>
      <c r="H31" s="46"/>
      <c r="I31" s="16"/>
      <c r="J31" s="16"/>
      <c r="K31" s="16"/>
      <c r="L31" s="16"/>
      <c r="M31" s="23">
        <f>SUM(H31:L31)</f>
        <v>0</v>
      </c>
      <c r="N31" s="3">
        <f t="shared" si="0"/>
        <v>0</v>
      </c>
    </row>
    <row r="32" spans="1:14" s="3" customFormat="1" ht="12.75">
      <c r="A32" s="25"/>
      <c r="B32" s="39" t="s">
        <v>23</v>
      </c>
      <c r="C32" s="105"/>
      <c r="D32" s="15"/>
      <c r="E32" s="15"/>
      <c r="F32" s="15"/>
      <c r="G32" s="23">
        <f>SUM(D32:F32)</f>
        <v>0</v>
      </c>
      <c r="H32" s="46"/>
      <c r="I32" s="16"/>
      <c r="J32" s="16"/>
      <c r="K32" s="16"/>
      <c r="L32" s="16"/>
      <c r="M32" s="23">
        <f>SUM(H32:L32)</f>
        <v>0</v>
      </c>
      <c r="N32" s="3">
        <f t="shared" si="0"/>
        <v>0</v>
      </c>
    </row>
    <row r="33" spans="1:14" s="3" customFormat="1" ht="12.75">
      <c r="A33" s="25"/>
      <c r="B33" s="39" t="s">
        <v>111</v>
      </c>
      <c r="C33" s="105"/>
      <c r="D33" s="15"/>
      <c r="E33" s="15"/>
      <c r="F33" s="15"/>
      <c r="G33" s="23">
        <f>SUM(D33:F33)</f>
        <v>0</v>
      </c>
      <c r="H33" s="46"/>
      <c r="I33" s="16"/>
      <c r="J33" s="16"/>
      <c r="K33" s="16"/>
      <c r="L33" s="16"/>
      <c r="M33" s="23">
        <f>SUM(H33:L33)</f>
        <v>0</v>
      </c>
      <c r="N33" s="3">
        <f t="shared" si="0"/>
        <v>0</v>
      </c>
    </row>
    <row r="34" spans="1:14" s="3" customFormat="1" ht="12.75">
      <c r="A34" s="25"/>
      <c r="B34" s="39" t="s">
        <v>24</v>
      </c>
      <c r="C34" s="102" t="s">
        <v>138</v>
      </c>
      <c r="D34" s="17">
        <f aca="true" t="shared" si="4" ref="D34:M34">SUM(D31:D33)</f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0</v>
      </c>
      <c r="N34" s="3">
        <f t="shared" si="0"/>
        <v>0</v>
      </c>
    </row>
    <row r="35" spans="1:14" s="3" customFormat="1" ht="12.75">
      <c r="A35" s="25"/>
      <c r="B35" s="40" t="s">
        <v>25</v>
      </c>
      <c r="C35" s="106" t="s">
        <v>91</v>
      </c>
      <c r="D35" s="15"/>
      <c r="E35" s="15"/>
      <c r="F35" s="15"/>
      <c r="G35" s="34"/>
      <c r="H35" s="27"/>
      <c r="I35" s="15"/>
      <c r="J35" s="15"/>
      <c r="K35" s="15"/>
      <c r="L35" s="15"/>
      <c r="M35" s="23"/>
      <c r="N35" s="3">
        <f t="shared" si="0"/>
        <v>0</v>
      </c>
    </row>
    <row r="36" spans="1:14" s="3" customFormat="1" ht="12.75">
      <c r="A36" s="25"/>
      <c r="B36" s="39" t="s">
        <v>26</v>
      </c>
      <c r="C36" s="105" t="s">
        <v>563</v>
      </c>
      <c r="D36" s="16">
        <f>SUM('detailed GEF budget'!D55:D58)</f>
        <v>48966</v>
      </c>
      <c r="E36" s="16">
        <f>SUM('detailed GEF budget'!E55:E58)</f>
        <v>5966</v>
      </c>
      <c r="F36" s="16">
        <f>SUM('detailed GEF budget'!F55:F58)</f>
        <v>5966</v>
      </c>
      <c r="G36" s="23">
        <f>SUM(D36:F36)</f>
        <v>60898</v>
      </c>
      <c r="H36" s="16">
        <f>SUM('detailed GEF budget'!H55:H58)</f>
        <v>27898</v>
      </c>
      <c r="I36" s="16">
        <f>SUM('detailed GEF budget'!I55:I58)</f>
        <v>5000</v>
      </c>
      <c r="J36" s="16">
        <f>SUM('detailed GEF budget'!J55:J58)</f>
        <v>28000</v>
      </c>
      <c r="K36" s="16">
        <f>SUM('detailed GEF budget'!K55:K58)</f>
        <v>0</v>
      </c>
      <c r="L36" s="16">
        <f>SUM('detailed GEF budget'!L55:L58)</f>
        <v>0</v>
      </c>
      <c r="M36" s="23">
        <f>SUM(H36:L36)</f>
        <v>60898</v>
      </c>
      <c r="N36" s="3">
        <f t="shared" si="0"/>
        <v>0</v>
      </c>
    </row>
    <row r="37" spans="1:14" s="3" customFormat="1" ht="12.75">
      <c r="A37" s="25"/>
      <c r="B37" s="39" t="s">
        <v>27</v>
      </c>
      <c r="C37" s="105" t="s">
        <v>564</v>
      </c>
      <c r="D37" s="16">
        <f>SUM('detailed GEF budget'!D59:D66)</f>
        <v>0</v>
      </c>
      <c r="E37" s="16">
        <f>SUM('detailed GEF budget'!E59:E66)</f>
        <v>78000</v>
      </c>
      <c r="F37" s="16">
        <f>SUM('detailed GEF budget'!F59:F66)</f>
        <v>0</v>
      </c>
      <c r="G37" s="23">
        <f>SUM(D37:F37)</f>
        <v>78000</v>
      </c>
      <c r="H37" s="16">
        <f>SUM('detailed GEF budget'!H59:H66)</f>
        <v>0</v>
      </c>
      <c r="I37" s="16">
        <f>SUM('detailed GEF budget'!I59:I66)</f>
        <v>0</v>
      </c>
      <c r="J37" s="16">
        <f>SUM('detailed GEF budget'!J59:J66)</f>
        <v>43000</v>
      </c>
      <c r="K37" s="16">
        <f>SUM('detailed GEF budget'!K59:K66)</f>
        <v>24000</v>
      </c>
      <c r="L37" s="16">
        <f>SUM('detailed GEF budget'!L59:L66)</f>
        <v>11000</v>
      </c>
      <c r="M37" s="23">
        <f>SUM(H37:L37)</f>
        <v>78000</v>
      </c>
      <c r="N37" s="3">
        <f t="shared" si="0"/>
        <v>0</v>
      </c>
    </row>
    <row r="38" spans="1:14" s="3" customFormat="1" ht="12.75">
      <c r="A38" s="25"/>
      <c r="B38" s="39" t="s">
        <v>112</v>
      </c>
      <c r="C38" s="105" t="s">
        <v>565</v>
      </c>
      <c r="D38" s="16">
        <f>SUM('detailed GEF budget'!D67:D71)</f>
        <v>0</v>
      </c>
      <c r="E38" s="16">
        <f>SUM('detailed GEF budget'!E67:E71)</f>
        <v>0</v>
      </c>
      <c r="F38" s="16">
        <f>SUM('detailed GEF budget'!F67:F71)</f>
        <v>48000</v>
      </c>
      <c r="G38" s="23">
        <f>SUM(D38:F38)</f>
        <v>48000</v>
      </c>
      <c r="H38" s="16">
        <f>SUM('detailed GEF budget'!H67:H71)</f>
        <v>8000</v>
      </c>
      <c r="I38" s="16">
        <f>SUM('detailed GEF budget'!I67:I71)</f>
        <v>0</v>
      </c>
      <c r="J38" s="16">
        <f>SUM('detailed GEF budget'!J67:J71)</f>
        <v>15000</v>
      </c>
      <c r="K38" s="16">
        <f>SUM('detailed GEF budget'!K67:K71)</f>
        <v>20000</v>
      </c>
      <c r="L38" s="16">
        <f>SUM('detailed GEF budget'!L67:L71)</f>
        <v>5000</v>
      </c>
      <c r="M38" s="23">
        <f>SUM(H38:L38)</f>
        <v>48000</v>
      </c>
      <c r="N38" s="3">
        <f t="shared" si="0"/>
        <v>0</v>
      </c>
    </row>
    <row r="39" spans="1:14" s="3" customFormat="1" ht="12.75">
      <c r="A39" s="25"/>
      <c r="B39" s="39" t="s">
        <v>166</v>
      </c>
      <c r="C39" s="105" t="s">
        <v>220</v>
      </c>
      <c r="D39" s="15">
        <f>'detailed GEF budget'!D72</f>
        <v>25000</v>
      </c>
      <c r="E39" s="15">
        <f>'detailed GEF budget'!E72</f>
        <v>30000</v>
      </c>
      <c r="F39" s="15">
        <f>'detailed GEF budget'!F72</f>
        <v>25000</v>
      </c>
      <c r="G39" s="23">
        <f>SUM(D39:F39)</f>
        <v>80000</v>
      </c>
      <c r="H39" s="15">
        <f>'detailed GEF budget'!H72</f>
        <v>10000</v>
      </c>
      <c r="I39" s="15">
        <f>'detailed GEF budget'!I72</f>
        <v>30000</v>
      </c>
      <c r="J39" s="15">
        <f>'detailed GEF budget'!J72</f>
        <v>15000</v>
      </c>
      <c r="K39" s="15">
        <f>'detailed GEF budget'!K72</f>
        <v>15000</v>
      </c>
      <c r="L39" s="15">
        <f>'detailed GEF budget'!L72</f>
        <v>10000</v>
      </c>
      <c r="M39" s="23">
        <f>SUM(H39:L39)</f>
        <v>80000</v>
      </c>
      <c r="N39" s="3">
        <f t="shared" si="0"/>
        <v>0</v>
      </c>
    </row>
    <row r="40" spans="1:14" s="3" customFormat="1" ht="12.75">
      <c r="A40" s="25"/>
      <c r="B40" s="39" t="s">
        <v>28</v>
      </c>
      <c r="C40" s="102" t="s">
        <v>138</v>
      </c>
      <c r="D40" s="17">
        <f aca="true" t="shared" si="5" ref="D40:M40">SUM(D36:D39)</f>
        <v>73966</v>
      </c>
      <c r="E40" s="17">
        <f t="shared" si="5"/>
        <v>113966</v>
      </c>
      <c r="F40" s="17">
        <f t="shared" si="5"/>
        <v>78966</v>
      </c>
      <c r="G40" s="17">
        <f t="shared" si="5"/>
        <v>266898</v>
      </c>
      <c r="H40" s="17">
        <f t="shared" si="5"/>
        <v>45898</v>
      </c>
      <c r="I40" s="17">
        <f t="shared" si="5"/>
        <v>35000</v>
      </c>
      <c r="J40" s="17">
        <f t="shared" si="5"/>
        <v>101000</v>
      </c>
      <c r="K40" s="17">
        <f t="shared" si="5"/>
        <v>59000</v>
      </c>
      <c r="L40" s="17">
        <f t="shared" si="5"/>
        <v>26000</v>
      </c>
      <c r="M40" s="17">
        <f t="shared" si="5"/>
        <v>266898</v>
      </c>
      <c r="N40" s="3">
        <f t="shared" si="0"/>
        <v>0</v>
      </c>
    </row>
    <row r="41" spans="1:14" s="3" customFormat="1" ht="12.75">
      <c r="A41" s="35"/>
      <c r="B41" s="36">
        <v>1999</v>
      </c>
      <c r="C41" s="107" t="s">
        <v>29</v>
      </c>
      <c r="D41" s="17">
        <f aca="true" t="shared" si="6" ref="D41:M41">+D17+D24+D29+D34+D40</f>
        <v>762862.6906397867</v>
      </c>
      <c r="E41" s="17">
        <f t="shared" si="6"/>
        <v>935900.8306397867</v>
      </c>
      <c r="F41" s="17">
        <f t="shared" si="6"/>
        <v>670297.8506397867</v>
      </c>
      <c r="G41" s="17">
        <f t="shared" si="6"/>
        <v>2369061.37191936</v>
      </c>
      <c r="H41" s="17">
        <f t="shared" si="6"/>
        <v>546911.78</v>
      </c>
      <c r="I41" s="17">
        <f t="shared" si="6"/>
        <v>374361.43</v>
      </c>
      <c r="J41" s="17">
        <f t="shared" si="6"/>
        <v>618776.2004</v>
      </c>
      <c r="K41" s="17">
        <f t="shared" si="6"/>
        <v>458221.498816</v>
      </c>
      <c r="L41" s="17">
        <f t="shared" si="6"/>
        <v>370790.46270336007</v>
      </c>
      <c r="M41" s="17">
        <f t="shared" si="6"/>
        <v>2369061.37191936</v>
      </c>
      <c r="N41" s="3">
        <f t="shared" si="0"/>
        <v>0</v>
      </c>
    </row>
    <row r="42" spans="1:14" s="3" customFormat="1" ht="12.75">
      <c r="A42" s="80">
        <v>20</v>
      </c>
      <c r="B42" s="74" t="s">
        <v>104</v>
      </c>
      <c r="C42" s="108"/>
      <c r="D42" s="61"/>
      <c r="E42" s="61"/>
      <c r="F42" s="61"/>
      <c r="G42" s="62"/>
      <c r="H42" s="63"/>
      <c r="I42" s="61"/>
      <c r="J42" s="61"/>
      <c r="K42" s="61"/>
      <c r="L42" s="61"/>
      <c r="M42" s="64"/>
      <c r="N42" s="3">
        <f t="shared" si="0"/>
        <v>0</v>
      </c>
    </row>
    <row r="43" spans="1:14" s="3" customFormat="1" ht="12.75">
      <c r="A43" s="22"/>
      <c r="B43" s="76" t="s">
        <v>30</v>
      </c>
      <c r="C43" s="99" t="s">
        <v>115</v>
      </c>
      <c r="D43" s="81"/>
      <c r="E43" s="81"/>
      <c r="F43" s="81"/>
      <c r="G43" s="82"/>
      <c r="H43" s="83"/>
      <c r="I43" s="81"/>
      <c r="J43" s="81"/>
      <c r="K43" s="81"/>
      <c r="L43" s="81"/>
      <c r="M43" s="82"/>
      <c r="N43" s="3">
        <f t="shared" si="0"/>
        <v>0</v>
      </c>
    </row>
    <row r="44" spans="1:14" s="3" customFormat="1" ht="12.75">
      <c r="A44" s="54"/>
      <c r="B44" s="55"/>
      <c r="C44" s="100" t="s">
        <v>116</v>
      </c>
      <c r="D44" s="70"/>
      <c r="E44" s="70"/>
      <c r="F44" s="70"/>
      <c r="G44" s="65"/>
      <c r="H44" s="71"/>
      <c r="I44" s="70"/>
      <c r="J44" s="70"/>
      <c r="K44" s="70"/>
      <c r="L44" s="70"/>
      <c r="M44" s="65"/>
      <c r="N44" s="3">
        <f t="shared" si="0"/>
        <v>0</v>
      </c>
    </row>
    <row r="45" spans="1:14" s="3" customFormat="1" ht="12.75">
      <c r="A45" s="25"/>
      <c r="B45" s="26" t="s">
        <v>31</v>
      </c>
      <c r="C45" s="105"/>
      <c r="D45" s="16"/>
      <c r="E45" s="16"/>
      <c r="F45" s="16"/>
      <c r="G45" s="23">
        <f>SUM(D45:F45)</f>
        <v>0</v>
      </c>
      <c r="H45" s="46"/>
      <c r="I45" s="16"/>
      <c r="J45" s="16"/>
      <c r="K45" s="16"/>
      <c r="L45" s="16"/>
      <c r="M45" s="23">
        <f>SUM(H45:L45)</f>
        <v>0</v>
      </c>
      <c r="N45" s="3">
        <f t="shared" si="0"/>
        <v>0</v>
      </c>
    </row>
    <row r="46" spans="1:14" s="3" customFormat="1" ht="12.75">
      <c r="A46" s="25"/>
      <c r="B46" s="39" t="s">
        <v>32</v>
      </c>
      <c r="C46" s="102" t="s">
        <v>138</v>
      </c>
      <c r="D46" s="17">
        <f aca="true" t="shared" si="7" ref="D46:M46">SUM(D45:D45)</f>
        <v>0</v>
      </c>
      <c r="E46" s="17">
        <f t="shared" si="7"/>
        <v>0</v>
      </c>
      <c r="F46" s="17">
        <f t="shared" si="7"/>
        <v>0</v>
      </c>
      <c r="G46" s="17">
        <f t="shared" si="7"/>
        <v>0</v>
      </c>
      <c r="H46" s="17">
        <f t="shared" si="7"/>
        <v>0</v>
      </c>
      <c r="I46" s="17">
        <f t="shared" si="7"/>
        <v>0</v>
      </c>
      <c r="J46" s="17">
        <f t="shared" si="7"/>
        <v>0</v>
      </c>
      <c r="K46" s="17">
        <f t="shared" si="7"/>
        <v>0</v>
      </c>
      <c r="L46" s="17">
        <f t="shared" si="7"/>
        <v>0</v>
      </c>
      <c r="M46" s="17">
        <f t="shared" si="7"/>
        <v>0</v>
      </c>
      <c r="N46" s="3">
        <f t="shared" si="0"/>
        <v>0</v>
      </c>
    </row>
    <row r="47" spans="1:14" s="3" customFormat="1" ht="12.75">
      <c r="A47" s="59"/>
      <c r="B47" s="66" t="s">
        <v>33</v>
      </c>
      <c r="C47" s="103" t="s">
        <v>117</v>
      </c>
      <c r="D47" s="68"/>
      <c r="E47" s="68"/>
      <c r="F47" s="68"/>
      <c r="G47" s="64"/>
      <c r="H47" s="69"/>
      <c r="I47" s="68"/>
      <c r="J47" s="68"/>
      <c r="K47" s="68"/>
      <c r="L47" s="68"/>
      <c r="M47" s="64"/>
      <c r="N47" s="3">
        <f t="shared" si="0"/>
        <v>0</v>
      </c>
    </row>
    <row r="48" spans="1:14" s="3" customFormat="1" ht="12.75">
      <c r="A48" s="54"/>
      <c r="B48" s="67"/>
      <c r="C48" s="109" t="s">
        <v>118</v>
      </c>
      <c r="D48" s="70"/>
      <c r="E48" s="70"/>
      <c r="F48" s="70"/>
      <c r="G48" s="65"/>
      <c r="H48" s="71"/>
      <c r="I48" s="70"/>
      <c r="J48" s="70"/>
      <c r="K48" s="70"/>
      <c r="L48" s="70"/>
      <c r="M48" s="65"/>
      <c r="N48" s="3">
        <f t="shared" si="0"/>
        <v>0</v>
      </c>
    </row>
    <row r="49" spans="1:14" s="3" customFormat="1" ht="12.75">
      <c r="A49" s="25"/>
      <c r="B49" s="39" t="s">
        <v>34</v>
      </c>
      <c r="C49" s="102" t="s">
        <v>566</v>
      </c>
      <c r="D49" s="16">
        <f>SUM('detailed GEF budget'!D82:D87)</f>
        <v>72162</v>
      </c>
      <c r="E49" s="16">
        <f>SUM('detailed GEF budget'!E82:E87)</f>
        <v>72162</v>
      </c>
      <c r="F49" s="16">
        <f>SUM('detailed GEF budget'!F82:F87)</f>
        <v>72162</v>
      </c>
      <c r="G49" s="23">
        <f>SUM(D49:F49)</f>
        <v>216486</v>
      </c>
      <c r="H49" s="16">
        <f>SUM('detailed GEF budget'!H82:H87)</f>
        <v>47736</v>
      </c>
      <c r="I49" s="16">
        <f>SUM('detailed GEF budget'!I82:I87)</f>
        <v>56250</v>
      </c>
      <c r="J49" s="16">
        <f>SUM('detailed GEF budget'!J82:J87)</f>
        <v>56250</v>
      </c>
      <c r="K49" s="16">
        <f>SUM('detailed GEF budget'!K82:K87)</f>
        <v>56250</v>
      </c>
      <c r="L49" s="16">
        <f>SUM('detailed GEF budget'!L82:L87)</f>
        <v>0</v>
      </c>
      <c r="M49" s="23">
        <f>SUM(H49:L49)</f>
        <v>216486</v>
      </c>
      <c r="N49" s="3">
        <f t="shared" si="0"/>
        <v>0</v>
      </c>
    </row>
    <row r="50" spans="1:14" s="3" customFormat="1" ht="25.5">
      <c r="A50" s="25"/>
      <c r="B50" s="39" t="s">
        <v>35</v>
      </c>
      <c r="C50" s="102" t="s">
        <v>629</v>
      </c>
      <c r="D50" s="16">
        <f>SUM('detailed GEF budget'!D88:D92)</f>
        <v>25000</v>
      </c>
      <c r="E50" s="16">
        <f>SUM('detailed GEF budget'!E88:E92)</f>
        <v>25000</v>
      </c>
      <c r="F50" s="16">
        <f>SUM('detailed GEF budget'!F88:F92)</f>
        <v>684900</v>
      </c>
      <c r="G50" s="23">
        <f>SUM(D50:F50)</f>
        <v>734900</v>
      </c>
      <c r="H50" s="16">
        <f>SUM('detailed GEF budget'!H88:H92)</f>
        <v>0</v>
      </c>
      <c r="I50" s="16">
        <f>SUM('detailed GEF budget'!I88:I92)</f>
        <v>354950</v>
      </c>
      <c r="J50" s="16">
        <f>SUM('detailed GEF budget'!J88:J92)</f>
        <v>189975</v>
      </c>
      <c r="K50" s="16">
        <f>SUM('detailed GEF budget'!K88:K92)</f>
        <v>189975</v>
      </c>
      <c r="L50" s="16">
        <f>SUM('detailed GEF budget'!L88:L92)</f>
        <v>0</v>
      </c>
      <c r="M50" s="23">
        <f>SUM(H50:L50)</f>
        <v>734900</v>
      </c>
      <c r="N50" s="3">
        <f t="shared" si="0"/>
        <v>0</v>
      </c>
    </row>
    <row r="51" spans="1:14" s="3" customFormat="1" ht="12.75">
      <c r="A51" s="25"/>
      <c r="B51" s="39" t="s">
        <v>37</v>
      </c>
      <c r="C51" s="102" t="s">
        <v>138</v>
      </c>
      <c r="D51" s="17">
        <f aca="true" t="shared" si="8" ref="D51:M51">SUM(D49:D50)</f>
        <v>97162</v>
      </c>
      <c r="E51" s="17">
        <f t="shared" si="8"/>
        <v>97162</v>
      </c>
      <c r="F51" s="17">
        <f t="shared" si="8"/>
        <v>757062</v>
      </c>
      <c r="G51" s="17">
        <f t="shared" si="8"/>
        <v>951386</v>
      </c>
      <c r="H51" s="17">
        <f t="shared" si="8"/>
        <v>47736</v>
      </c>
      <c r="I51" s="17">
        <f t="shared" si="8"/>
        <v>411200</v>
      </c>
      <c r="J51" s="17">
        <f t="shared" si="8"/>
        <v>246225</v>
      </c>
      <c r="K51" s="17">
        <f t="shared" si="8"/>
        <v>246225</v>
      </c>
      <c r="L51" s="17">
        <f t="shared" si="8"/>
        <v>0</v>
      </c>
      <c r="M51" s="17">
        <f t="shared" si="8"/>
        <v>951386</v>
      </c>
      <c r="N51" s="3">
        <f t="shared" si="0"/>
        <v>0</v>
      </c>
    </row>
    <row r="52" spans="1:14" s="3" customFormat="1" ht="12.75">
      <c r="A52" s="25"/>
      <c r="B52" s="40" t="s">
        <v>38</v>
      </c>
      <c r="C52" s="106" t="s">
        <v>126</v>
      </c>
      <c r="D52" s="16"/>
      <c r="E52" s="16"/>
      <c r="F52" s="16"/>
      <c r="G52" s="23"/>
      <c r="H52" s="46"/>
      <c r="I52" s="16"/>
      <c r="J52" s="16"/>
      <c r="K52" s="16"/>
      <c r="L52" s="16"/>
      <c r="M52" s="23"/>
      <c r="N52" s="3">
        <f t="shared" si="0"/>
        <v>0</v>
      </c>
    </row>
    <row r="53" spans="1:14" s="3" customFormat="1" ht="13.5" thickBot="1">
      <c r="A53" s="25"/>
      <c r="B53" s="39" t="s">
        <v>39</v>
      </c>
      <c r="C53" s="95"/>
      <c r="D53" s="16"/>
      <c r="E53" s="16"/>
      <c r="F53" s="16"/>
      <c r="G53" s="23">
        <f>SUM(D53:F53)</f>
        <v>0</v>
      </c>
      <c r="H53" s="46"/>
      <c r="I53" s="46"/>
      <c r="J53" s="16"/>
      <c r="K53" s="16"/>
      <c r="L53" s="16"/>
      <c r="M53" s="23">
        <f>SUM(H53:L53)</f>
        <v>0</v>
      </c>
      <c r="N53" s="3">
        <f t="shared" si="0"/>
        <v>0</v>
      </c>
    </row>
    <row r="54" spans="4:14" ht="15">
      <c r="D54" s="16"/>
      <c r="E54" s="16"/>
      <c r="F54" s="16"/>
      <c r="G54" s="23">
        <f>SUM(D54:F54)</f>
        <v>0</v>
      </c>
      <c r="N54" s="3">
        <f t="shared" si="0"/>
        <v>0</v>
      </c>
    </row>
    <row r="55" spans="1:14" s="3" customFormat="1" ht="12.75">
      <c r="A55" s="25"/>
      <c r="B55" s="39" t="s">
        <v>42</v>
      </c>
      <c r="C55" s="102" t="s">
        <v>138</v>
      </c>
      <c r="D55" s="17">
        <f aca="true" t="shared" si="9" ref="D55:M55">SUM(D53:D54)</f>
        <v>0</v>
      </c>
      <c r="E55" s="17">
        <f t="shared" si="9"/>
        <v>0</v>
      </c>
      <c r="F55" s="17">
        <f t="shared" si="9"/>
        <v>0</v>
      </c>
      <c r="G55" s="17">
        <f t="shared" si="9"/>
        <v>0</v>
      </c>
      <c r="H55" s="17">
        <f t="shared" si="9"/>
        <v>0</v>
      </c>
      <c r="I55" s="17">
        <f t="shared" si="9"/>
        <v>0</v>
      </c>
      <c r="J55" s="17">
        <f t="shared" si="9"/>
        <v>0</v>
      </c>
      <c r="K55" s="17">
        <f t="shared" si="9"/>
        <v>0</v>
      </c>
      <c r="L55" s="17">
        <f t="shared" si="9"/>
        <v>0</v>
      </c>
      <c r="M55" s="17">
        <f t="shared" si="9"/>
        <v>0</v>
      </c>
      <c r="N55" s="3">
        <f t="shared" si="0"/>
        <v>0</v>
      </c>
    </row>
    <row r="56" spans="1:14" s="3" customFormat="1" ht="12.75">
      <c r="A56" s="35"/>
      <c r="B56" s="36">
        <v>2999</v>
      </c>
      <c r="C56" s="107" t="s">
        <v>29</v>
      </c>
      <c r="D56" s="17">
        <f aca="true" t="shared" si="10" ref="D56:M56">+D46+D51+D55</f>
        <v>97162</v>
      </c>
      <c r="E56" s="17">
        <f t="shared" si="10"/>
        <v>97162</v>
      </c>
      <c r="F56" s="17">
        <f t="shared" si="10"/>
        <v>757062</v>
      </c>
      <c r="G56" s="17">
        <f t="shared" si="10"/>
        <v>951386</v>
      </c>
      <c r="H56" s="17">
        <f t="shared" si="10"/>
        <v>47736</v>
      </c>
      <c r="I56" s="17">
        <f t="shared" si="10"/>
        <v>411200</v>
      </c>
      <c r="J56" s="17">
        <f t="shared" si="10"/>
        <v>246225</v>
      </c>
      <c r="K56" s="17">
        <f t="shared" si="10"/>
        <v>246225</v>
      </c>
      <c r="L56" s="17">
        <f t="shared" si="10"/>
        <v>0</v>
      </c>
      <c r="M56" s="17">
        <f t="shared" si="10"/>
        <v>951386</v>
      </c>
      <c r="N56" s="3">
        <f t="shared" si="0"/>
        <v>0</v>
      </c>
    </row>
    <row r="57" spans="1:14" s="3" customFormat="1" ht="12.75">
      <c r="A57" s="84">
        <v>30</v>
      </c>
      <c r="B57" s="85" t="s">
        <v>43</v>
      </c>
      <c r="C57" s="110"/>
      <c r="D57" s="77"/>
      <c r="E57" s="77"/>
      <c r="F57" s="77"/>
      <c r="G57" s="78"/>
      <c r="H57" s="79"/>
      <c r="I57" s="77"/>
      <c r="J57" s="77"/>
      <c r="K57" s="77"/>
      <c r="L57" s="77"/>
      <c r="M57" s="82"/>
      <c r="N57" s="3">
        <f t="shared" si="0"/>
        <v>0</v>
      </c>
    </row>
    <row r="58" spans="1:14" s="3" customFormat="1" ht="12.75">
      <c r="A58" s="22"/>
      <c r="B58" s="76" t="s">
        <v>44</v>
      </c>
      <c r="C58" s="99" t="s">
        <v>119</v>
      </c>
      <c r="D58" s="77"/>
      <c r="E58" s="77"/>
      <c r="F58" s="77"/>
      <c r="G58" s="78"/>
      <c r="H58" s="79"/>
      <c r="I58" s="77"/>
      <c r="J58" s="77"/>
      <c r="K58" s="77"/>
      <c r="L58" s="77"/>
      <c r="M58" s="82"/>
      <c r="N58" s="3">
        <f t="shared" si="0"/>
        <v>0</v>
      </c>
    </row>
    <row r="59" spans="1:14" s="3" customFormat="1" ht="12.75">
      <c r="A59" s="54"/>
      <c r="B59" s="55"/>
      <c r="C59" s="100" t="s">
        <v>120</v>
      </c>
      <c r="D59" s="56"/>
      <c r="E59" s="56"/>
      <c r="F59" s="56"/>
      <c r="G59" s="57"/>
      <c r="H59" s="58"/>
      <c r="I59" s="56"/>
      <c r="J59" s="56"/>
      <c r="K59" s="56"/>
      <c r="L59" s="56"/>
      <c r="M59" s="65"/>
      <c r="N59" s="3">
        <f t="shared" si="0"/>
        <v>0</v>
      </c>
    </row>
    <row r="60" spans="1:14" s="3" customFormat="1" ht="12.75">
      <c r="A60" s="25"/>
      <c r="B60" s="26" t="s">
        <v>45</v>
      </c>
      <c r="C60" s="111"/>
      <c r="D60" s="16"/>
      <c r="E60" s="16"/>
      <c r="F60" s="16"/>
      <c r="G60" s="23">
        <f>SUM(D60:F60)</f>
        <v>0</v>
      </c>
      <c r="H60" s="46"/>
      <c r="I60" s="16"/>
      <c r="J60" s="16"/>
      <c r="K60" s="16"/>
      <c r="L60" s="16"/>
      <c r="M60" s="23">
        <f>SUM(H60:L60)</f>
        <v>0</v>
      </c>
      <c r="N60" s="3">
        <f t="shared" si="0"/>
        <v>0</v>
      </c>
    </row>
    <row r="61" spans="1:14" s="3" customFormat="1" ht="12.75">
      <c r="A61" s="25"/>
      <c r="B61" s="26" t="s">
        <v>46</v>
      </c>
      <c r="C61" s="111"/>
      <c r="D61" s="16"/>
      <c r="E61" s="16"/>
      <c r="F61" s="16"/>
      <c r="G61" s="23">
        <f>SUM(D61:F61)</f>
        <v>0</v>
      </c>
      <c r="H61" s="46"/>
      <c r="I61" s="16"/>
      <c r="J61" s="16"/>
      <c r="K61" s="16"/>
      <c r="L61" s="16"/>
      <c r="M61" s="23">
        <f>SUM(H61:L61)</f>
        <v>0</v>
      </c>
      <c r="N61" s="3">
        <f t="shared" si="0"/>
        <v>0</v>
      </c>
    </row>
    <row r="62" spans="1:14" s="3" customFormat="1" ht="12.75">
      <c r="A62" s="25"/>
      <c r="B62" s="39" t="s">
        <v>47</v>
      </c>
      <c r="C62" s="102" t="s">
        <v>138</v>
      </c>
      <c r="D62" s="17">
        <f aca="true" t="shared" si="11" ref="D62:M62">SUM(D60:D61)</f>
        <v>0</v>
      </c>
      <c r="E62" s="17">
        <f t="shared" si="11"/>
        <v>0</v>
      </c>
      <c r="F62" s="17">
        <f t="shared" si="11"/>
        <v>0</v>
      </c>
      <c r="G62" s="23">
        <f t="shared" si="11"/>
        <v>0</v>
      </c>
      <c r="H62" s="4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23">
        <f t="shared" si="11"/>
        <v>0</v>
      </c>
      <c r="N62" s="3">
        <f t="shared" si="0"/>
        <v>0</v>
      </c>
    </row>
    <row r="63" spans="1:14" s="3" customFormat="1" ht="12.75">
      <c r="A63" s="59"/>
      <c r="B63" s="66" t="s">
        <v>48</v>
      </c>
      <c r="C63" s="104" t="s">
        <v>105</v>
      </c>
      <c r="D63" s="61"/>
      <c r="E63" s="61"/>
      <c r="F63" s="61"/>
      <c r="G63" s="62"/>
      <c r="H63" s="63"/>
      <c r="I63" s="61"/>
      <c r="J63" s="61"/>
      <c r="K63" s="61"/>
      <c r="L63" s="61"/>
      <c r="M63" s="64"/>
      <c r="N63" s="3">
        <f aca="true" t="shared" si="12" ref="N63:N120">G63-M63</f>
        <v>0</v>
      </c>
    </row>
    <row r="64" spans="1:14" s="3" customFormat="1" ht="12.75">
      <c r="A64" s="54"/>
      <c r="B64" s="67"/>
      <c r="C64" s="109" t="s">
        <v>106</v>
      </c>
      <c r="D64" s="56"/>
      <c r="E64" s="56"/>
      <c r="F64" s="56"/>
      <c r="G64" s="57"/>
      <c r="H64" s="58"/>
      <c r="I64" s="56"/>
      <c r="J64" s="56"/>
      <c r="K64" s="56"/>
      <c r="L64" s="56"/>
      <c r="M64" s="65"/>
      <c r="N64" s="3">
        <f t="shared" si="12"/>
        <v>0</v>
      </c>
    </row>
    <row r="65" spans="1:14" s="3" customFormat="1" ht="12.75">
      <c r="A65" s="25"/>
      <c r="B65" s="39" t="s">
        <v>49</v>
      </c>
      <c r="C65" s="102" t="s">
        <v>567</v>
      </c>
      <c r="D65" s="16">
        <f>SUM('detailed GEF budget'!D107:D112)</f>
        <v>201118.03999999998</v>
      </c>
      <c r="E65" s="16">
        <f>SUM('detailed GEF budget'!E107:E112)</f>
        <v>0</v>
      </c>
      <c r="F65" s="16">
        <f>SUM('detailed GEF budget'!F107:F112)</f>
        <v>0</v>
      </c>
      <c r="G65" s="23">
        <f>SUM(D65:F65)</f>
        <v>201118.03999999998</v>
      </c>
      <c r="H65" s="16">
        <f>SUM('detailed GEF budget'!H107:H112)</f>
        <v>52118.03999999999</v>
      </c>
      <c r="I65" s="16">
        <f>SUM('detailed GEF budget'!I107:I112)</f>
        <v>59000</v>
      </c>
      <c r="J65" s="16">
        <f>SUM('detailed GEF budget'!J107:J112)</f>
        <v>75000</v>
      </c>
      <c r="K65" s="16">
        <f>SUM('detailed GEF budget'!K107:K112)</f>
        <v>15000</v>
      </c>
      <c r="L65" s="16">
        <f>SUM('detailed GEF budget'!L107:L112)</f>
        <v>0</v>
      </c>
      <c r="M65" s="23">
        <f>SUM(H65:L65)</f>
        <v>201118.03999999998</v>
      </c>
      <c r="N65" s="3">
        <f t="shared" si="12"/>
        <v>0</v>
      </c>
    </row>
    <row r="66" spans="1:14" s="3" customFormat="1" ht="12.75">
      <c r="A66" s="25"/>
      <c r="B66" s="39" t="s">
        <v>92</v>
      </c>
      <c r="C66" s="102" t="s">
        <v>568</v>
      </c>
      <c r="D66" s="16">
        <f>'detailed GEF budget'!D113</f>
        <v>0</v>
      </c>
      <c r="E66" s="16">
        <f>'detailed GEF budget'!E115</f>
        <v>82000</v>
      </c>
      <c r="F66" s="16">
        <f>'detailed GEF budget'!F113</f>
        <v>0</v>
      </c>
      <c r="G66" s="23">
        <f>SUM(D66:F66)</f>
        <v>82000</v>
      </c>
      <c r="H66" s="16">
        <f>'detailed GEF budget'!H113</f>
        <v>0</v>
      </c>
      <c r="I66" s="16">
        <f>'detailed GEF budget'!I113</f>
        <v>34000</v>
      </c>
      <c r="J66" s="16">
        <f>'detailed GEF budget'!J113</f>
        <v>0</v>
      </c>
      <c r="K66" s="16">
        <f>'detailed GEF budget'!K113</f>
        <v>0</v>
      </c>
      <c r="L66" s="16">
        <f>'detailed GEF budget'!L113</f>
        <v>0</v>
      </c>
      <c r="M66" s="23">
        <f>SUM(H66:L66)</f>
        <v>34000</v>
      </c>
      <c r="N66" s="3">
        <f>G66-M66</f>
        <v>48000</v>
      </c>
    </row>
    <row r="67" spans="1:14" s="3" customFormat="1" ht="12.75">
      <c r="A67" s="25"/>
      <c r="B67" s="39" t="s">
        <v>92</v>
      </c>
      <c r="C67" s="102" t="s">
        <v>622</v>
      </c>
      <c r="D67" s="16">
        <f>'detailed GEF budget'!D114</f>
        <v>0</v>
      </c>
      <c r="E67" s="16">
        <f>'detailed GEF budget'!F115</f>
        <v>0</v>
      </c>
      <c r="F67" s="16">
        <f>'detailed GEF budget'!F114</f>
        <v>0</v>
      </c>
      <c r="G67" s="23">
        <f>SUM(D67:F67)</f>
        <v>0</v>
      </c>
      <c r="H67" s="16">
        <f>'detailed GEF budget'!H114</f>
        <v>0</v>
      </c>
      <c r="I67" s="16">
        <f>'detailed GEF budget'!I114</f>
        <v>0</v>
      </c>
      <c r="J67" s="16">
        <f>'detailed GEF budget'!J114</f>
        <v>0</v>
      </c>
      <c r="K67" s="16">
        <f>'detailed GEF budget'!K114</f>
        <v>48000</v>
      </c>
      <c r="L67" s="16">
        <f>'detailed GEF budget'!L114</f>
        <v>0</v>
      </c>
      <c r="M67" s="23">
        <f>SUM(H67:L67)</f>
        <v>48000</v>
      </c>
      <c r="N67" s="3">
        <f t="shared" si="12"/>
        <v>-48000</v>
      </c>
    </row>
    <row r="68" spans="1:14" s="3" customFormat="1" ht="12.75">
      <c r="A68" s="25"/>
      <c r="B68" s="39" t="s">
        <v>50</v>
      </c>
      <c r="C68" s="102" t="s">
        <v>138</v>
      </c>
      <c r="D68" s="17">
        <f aca="true" t="shared" si="13" ref="D68:M68">SUM(D65:D67)</f>
        <v>201118.03999999998</v>
      </c>
      <c r="E68" s="17">
        <f t="shared" si="13"/>
        <v>82000</v>
      </c>
      <c r="F68" s="17">
        <f t="shared" si="13"/>
        <v>0</v>
      </c>
      <c r="G68" s="17">
        <f t="shared" si="13"/>
        <v>283118.04</v>
      </c>
      <c r="H68" s="17">
        <f t="shared" si="13"/>
        <v>52118.03999999999</v>
      </c>
      <c r="I68" s="17">
        <f t="shared" si="13"/>
        <v>93000</v>
      </c>
      <c r="J68" s="17">
        <f t="shared" si="13"/>
        <v>75000</v>
      </c>
      <c r="K68" s="17">
        <f t="shared" si="13"/>
        <v>63000</v>
      </c>
      <c r="L68" s="17">
        <f t="shared" si="13"/>
        <v>0</v>
      </c>
      <c r="M68" s="17">
        <f t="shared" si="13"/>
        <v>283118.04</v>
      </c>
      <c r="N68" s="3">
        <f t="shared" si="12"/>
        <v>0</v>
      </c>
    </row>
    <row r="69" spans="1:14" s="3" customFormat="1" ht="12.75">
      <c r="A69" s="25"/>
      <c r="B69" s="40" t="s">
        <v>51</v>
      </c>
      <c r="C69" s="106" t="s">
        <v>94</v>
      </c>
      <c r="D69" s="15"/>
      <c r="E69" s="15"/>
      <c r="F69" s="15"/>
      <c r="G69" s="34"/>
      <c r="H69" s="27"/>
      <c r="I69" s="15"/>
      <c r="J69" s="15"/>
      <c r="K69" s="15"/>
      <c r="L69" s="15"/>
      <c r="M69" s="23"/>
      <c r="N69" s="3">
        <f t="shared" si="12"/>
        <v>0</v>
      </c>
    </row>
    <row r="70" spans="1:14" s="3" customFormat="1" ht="12.75">
      <c r="A70" s="25"/>
      <c r="B70" s="39" t="s">
        <v>52</v>
      </c>
      <c r="C70" s="102" t="str">
        <f>'detailed GEF budget'!C117</f>
        <v>5 Project Steering committee meetings</v>
      </c>
      <c r="D70" s="16">
        <f>'detailed GEF budget'!D117</f>
        <v>65666.66666666667</v>
      </c>
      <c r="E70" s="16">
        <f>'detailed GEF budget'!E117</f>
        <v>65666.66666666667</v>
      </c>
      <c r="F70" s="16">
        <f>'detailed GEF budget'!F117</f>
        <v>65666.66666666667</v>
      </c>
      <c r="G70" s="23">
        <f>SUM(D70:F70)</f>
        <v>197000</v>
      </c>
      <c r="H70" s="16">
        <f>'detailed GEF budget'!H117</f>
        <v>39000</v>
      </c>
      <c r="I70" s="16">
        <f>'detailed GEF budget'!I117</f>
        <v>40000</v>
      </c>
      <c r="J70" s="16">
        <f>'detailed GEF budget'!J117</f>
        <v>40000</v>
      </c>
      <c r="K70" s="16">
        <f>'detailed GEF budget'!K117</f>
        <v>78000</v>
      </c>
      <c r="L70" s="16">
        <f>'detailed GEF budget'!L117</f>
        <v>0</v>
      </c>
      <c r="M70" s="23">
        <f>SUM(H70:L70)</f>
        <v>197000</v>
      </c>
      <c r="N70" s="3">
        <f t="shared" si="12"/>
        <v>0</v>
      </c>
    </row>
    <row r="71" spans="1:14" s="3" customFormat="1" ht="25.5">
      <c r="A71" s="25"/>
      <c r="B71" s="39" t="s">
        <v>53</v>
      </c>
      <c r="C71" s="102" t="str">
        <f>'detailed GEF budget'!C118</f>
        <v>Organize one scientific workshop in collaboration with UNIESCO</v>
      </c>
      <c r="D71" s="102">
        <f>'detailed GEF budget'!D118</f>
        <v>0</v>
      </c>
      <c r="E71" s="102">
        <f>'detailed GEF budget'!E118</f>
        <v>0</v>
      </c>
      <c r="F71" s="102">
        <f>'detailed GEF budget'!F118</f>
        <v>0</v>
      </c>
      <c r="G71" s="23">
        <f>'detailed GEF budget'!G118</f>
        <v>0</v>
      </c>
      <c r="H71" s="102">
        <f>'detailed GEF budget'!H118</f>
        <v>0</v>
      </c>
      <c r="I71" s="102">
        <f>'detailed GEF budget'!I118</f>
        <v>0</v>
      </c>
      <c r="J71" s="102">
        <f>'detailed GEF budget'!J118</f>
        <v>0</v>
      </c>
      <c r="K71" s="102">
        <f>'detailed GEF budget'!K118</f>
        <v>0</v>
      </c>
      <c r="L71" s="102">
        <f>'detailed GEF budget'!L118</f>
        <v>0</v>
      </c>
      <c r="M71" s="23">
        <f>SUM(H71:L71)</f>
        <v>0</v>
      </c>
      <c r="N71" s="3">
        <f t="shared" si="12"/>
        <v>0</v>
      </c>
    </row>
    <row r="72" spans="1:14" s="3" customFormat="1" ht="12.75">
      <c r="A72" s="25"/>
      <c r="B72" s="39" t="s">
        <v>54</v>
      </c>
      <c r="C72" s="102" t="s">
        <v>555</v>
      </c>
      <c r="D72" s="102">
        <f>SUM('detailed GEF budget'!D119:D121)</f>
        <v>0</v>
      </c>
      <c r="E72" s="102">
        <f>SUM('detailed GEF budget'!E119:E121)</f>
        <v>0</v>
      </c>
      <c r="F72" s="102">
        <f>SUM('detailed GEF budget'!F119:F121)</f>
        <v>0</v>
      </c>
      <c r="G72" s="23">
        <f>SUM(D72:F72)</f>
        <v>0</v>
      </c>
      <c r="H72" s="102">
        <f>SUM('detailed GEF budget'!H119:H121)</f>
        <v>0</v>
      </c>
      <c r="I72" s="102">
        <f>SUM('detailed GEF budget'!I119:I121)</f>
        <v>0</v>
      </c>
      <c r="J72" s="102">
        <f>SUM('detailed GEF budget'!J119:J121)</f>
        <v>0</v>
      </c>
      <c r="K72" s="102">
        <f>SUM('detailed GEF budget'!K119:K121)</f>
        <v>0</v>
      </c>
      <c r="L72" s="102">
        <f>SUM('detailed GEF budget'!L119:L121)</f>
        <v>0</v>
      </c>
      <c r="M72" s="23">
        <f>SUM(H72:L72)</f>
        <v>0</v>
      </c>
      <c r="N72" s="3">
        <f t="shared" si="12"/>
        <v>0</v>
      </c>
    </row>
    <row r="73" spans="1:14" s="3" customFormat="1" ht="12.75">
      <c r="A73" s="25"/>
      <c r="B73" s="39" t="s">
        <v>189</v>
      </c>
      <c r="C73" s="102" t="s">
        <v>570</v>
      </c>
      <c r="D73" s="16">
        <f>SUM('detailed GEF budget'!D122:D133)</f>
        <v>0</v>
      </c>
      <c r="E73" s="16">
        <f>SUM('detailed GEF budget'!E122:E133)</f>
        <v>432000</v>
      </c>
      <c r="F73" s="16">
        <f>SUM('detailed GEF budget'!F122:F133)</f>
        <v>0</v>
      </c>
      <c r="G73" s="23">
        <f>SUM(D73:F73)</f>
        <v>432000</v>
      </c>
      <c r="H73" s="16">
        <f>SUM('detailed GEF budget'!H122:H133)</f>
        <v>0</v>
      </c>
      <c r="I73" s="16">
        <f>SUM('detailed GEF budget'!I122:I133)</f>
        <v>83000</v>
      </c>
      <c r="J73" s="16">
        <f>SUM('detailed GEF budget'!J122:J133)</f>
        <v>202000</v>
      </c>
      <c r="K73" s="16">
        <f>SUM('detailed GEF budget'!K122:K133)</f>
        <v>147000</v>
      </c>
      <c r="L73" s="16">
        <f>SUM('detailed GEF budget'!L122:L133)</f>
        <v>0</v>
      </c>
      <c r="M73" s="23">
        <f>SUM(H73:L73)</f>
        <v>432000</v>
      </c>
      <c r="N73" s="3">
        <f t="shared" si="12"/>
        <v>0</v>
      </c>
    </row>
    <row r="74" spans="1:14" s="3" customFormat="1" ht="12.75">
      <c r="A74" s="25"/>
      <c r="B74" s="39" t="s">
        <v>190</v>
      </c>
      <c r="C74" s="102" t="s">
        <v>571</v>
      </c>
      <c r="D74" s="16">
        <f>'detailed GEF budget'!D134</f>
        <v>0</v>
      </c>
      <c r="E74" s="16">
        <f>'detailed GEF budget'!E134</f>
        <v>0</v>
      </c>
      <c r="F74" s="16">
        <f>'detailed GEF budget'!F134</f>
        <v>36000</v>
      </c>
      <c r="G74" s="23">
        <f>SUM(D74:F74)</f>
        <v>36000</v>
      </c>
      <c r="H74" s="16">
        <f>'detailed GEF budget'!H134</f>
        <v>0</v>
      </c>
      <c r="I74" s="16">
        <f>'detailed GEF budget'!I134</f>
        <v>0</v>
      </c>
      <c r="J74" s="16">
        <f>'detailed GEF budget'!J134</f>
        <v>0</v>
      </c>
      <c r="K74" s="16">
        <f>'detailed GEF budget'!K134</f>
        <v>36000</v>
      </c>
      <c r="L74" s="16">
        <f>'detailed GEF budget'!L134</f>
        <v>0</v>
      </c>
      <c r="M74" s="23">
        <f>SUM(H74:L74)</f>
        <v>36000</v>
      </c>
      <c r="N74" s="3">
        <f t="shared" si="12"/>
        <v>0</v>
      </c>
    </row>
    <row r="75" spans="1:14" s="3" customFormat="1" ht="12.75">
      <c r="A75" s="25"/>
      <c r="B75" s="39" t="s">
        <v>55</v>
      </c>
      <c r="C75" s="102" t="s">
        <v>138</v>
      </c>
      <c r="D75" s="17">
        <f aca="true" t="shared" si="14" ref="D75:M75">SUM(D70:D74)</f>
        <v>65666.66666666667</v>
      </c>
      <c r="E75" s="17">
        <f t="shared" si="14"/>
        <v>497666.6666666667</v>
      </c>
      <c r="F75" s="17">
        <f t="shared" si="14"/>
        <v>101666.66666666667</v>
      </c>
      <c r="G75" s="17">
        <f t="shared" si="14"/>
        <v>665000</v>
      </c>
      <c r="H75" s="17">
        <f t="shared" si="14"/>
        <v>39000</v>
      </c>
      <c r="I75" s="17">
        <f t="shared" si="14"/>
        <v>123000</v>
      </c>
      <c r="J75" s="17">
        <f t="shared" si="14"/>
        <v>242000</v>
      </c>
      <c r="K75" s="17">
        <f t="shared" si="14"/>
        <v>261000</v>
      </c>
      <c r="L75" s="17">
        <f t="shared" si="14"/>
        <v>0</v>
      </c>
      <c r="M75" s="17">
        <f t="shared" si="14"/>
        <v>665000</v>
      </c>
      <c r="N75" s="3">
        <f t="shared" si="12"/>
        <v>0</v>
      </c>
    </row>
    <row r="76" spans="1:14" s="3" customFormat="1" ht="12.75">
      <c r="A76" s="35"/>
      <c r="B76" s="36">
        <v>3999</v>
      </c>
      <c r="C76" s="107" t="s">
        <v>29</v>
      </c>
      <c r="D76" s="17">
        <f aca="true" t="shared" si="15" ref="D76:M76">+D62+D68+D75</f>
        <v>266784.70666666667</v>
      </c>
      <c r="E76" s="17">
        <f t="shared" si="15"/>
        <v>579666.6666666667</v>
      </c>
      <c r="F76" s="17">
        <f t="shared" si="15"/>
        <v>101666.66666666667</v>
      </c>
      <c r="G76" s="17">
        <f t="shared" si="15"/>
        <v>948118.04</v>
      </c>
      <c r="H76" s="17">
        <f t="shared" si="15"/>
        <v>91118.04</v>
      </c>
      <c r="I76" s="17">
        <f t="shared" si="15"/>
        <v>216000</v>
      </c>
      <c r="J76" s="17">
        <f t="shared" si="15"/>
        <v>317000</v>
      </c>
      <c r="K76" s="17">
        <f t="shared" si="15"/>
        <v>324000</v>
      </c>
      <c r="L76" s="17">
        <f t="shared" si="15"/>
        <v>0</v>
      </c>
      <c r="M76" s="17">
        <f t="shared" si="15"/>
        <v>948118.04</v>
      </c>
      <c r="N76" s="3">
        <f t="shared" si="12"/>
        <v>0</v>
      </c>
    </row>
    <row r="77" spans="1:14" s="3" customFormat="1" ht="12.75">
      <c r="A77" s="80">
        <v>40</v>
      </c>
      <c r="B77" s="86" t="s">
        <v>127</v>
      </c>
      <c r="C77" s="108"/>
      <c r="D77" s="61"/>
      <c r="E77" s="61"/>
      <c r="F77" s="61"/>
      <c r="G77" s="62"/>
      <c r="H77" s="63"/>
      <c r="I77" s="61"/>
      <c r="J77" s="61"/>
      <c r="K77" s="61"/>
      <c r="L77" s="61"/>
      <c r="M77" s="64"/>
      <c r="N77" s="3">
        <f t="shared" si="12"/>
        <v>0</v>
      </c>
    </row>
    <row r="78" spans="1:14" s="3" customFormat="1" ht="12.75">
      <c r="A78" s="22"/>
      <c r="B78" s="76" t="s">
        <v>56</v>
      </c>
      <c r="C78" s="99" t="s">
        <v>103</v>
      </c>
      <c r="D78" s="81"/>
      <c r="E78" s="81"/>
      <c r="F78" s="81"/>
      <c r="G78" s="82"/>
      <c r="H78" s="83"/>
      <c r="I78" s="81"/>
      <c r="J78" s="81"/>
      <c r="K78" s="81"/>
      <c r="L78" s="81"/>
      <c r="M78" s="82"/>
      <c r="N78" s="3">
        <f t="shared" si="12"/>
        <v>0</v>
      </c>
    </row>
    <row r="79" spans="1:14" s="3" customFormat="1" ht="12.75">
      <c r="A79" s="54"/>
      <c r="B79" s="55"/>
      <c r="C79" s="100" t="s">
        <v>121</v>
      </c>
      <c r="D79" s="70"/>
      <c r="E79" s="70"/>
      <c r="F79" s="70"/>
      <c r="G79" s="65"/>
      <c r="H79" s="71"/>
      <c r="I79" s="70"/>
      <c r="J79" s="70"/>
      <c r="K79" s="70"/>
      <c r="L79" s="70"/>
      <c r="M79" s="65"/>
      <c r="N79" s="3">
        <f t="shared" si="12"/>
        <v>0</v>
      </c>
    </row>
    <row r="80" spans="1:14" s="3" customFormat="1" ht="25.5">
      <c r="A80" s="25"/>
      <c r="B80" s="26" t="s">
        <v>57</v>
      </c>
      <c r="C80" s="111" t="str">
        <f>'detailed GEF budget'!C140</f>
        <v>Office supplies (including Toners for printers, Fax, photocopier,…)</v>
      </c>
      <c r="D80" s="16">
        <f>'detailed GEF budget'!D140</f>
        <v>5000</v>
      </c>
      <c r="E80" s="16">
        <f>'detailed GEF budget'!E140</f>
        <v>5000</v>
      </c>
      <c r="F80" s="16">
        <f>'detailed GEF budget'!F140</f>
        <v>5000</v>
      </c>
      <c r="G80" s="23">
        <f>SUM(D80:F80)</f>
        <v>15000</v>
      </c>
      <c r="H80" s="16">
        <f>'detailed GEF budget'!H140</f>
        <v>3506.98</v>
      </c>
      <c r="I80" s="16">
        <f>'detailed GEF budget'!I140</f>
        <v>3831.0066666666667</v>
      </c>
      <c r="J80" s="16">
        <f>'detailed GEF budget'!J140</f>
        <v>3831.0066666666667</v>
      </c>
      <c r="K80" s="16">
        <f>'detailed GEF budget'!K140</f>
        <v>3831.0066666666667</v>
      </c>
      <c r="L80" s="16">
        <f>'detailed GEF budget'!L140</f>
        <v>0</v>
      </c>
      <c r="M80" s="23">
        <f>SUM(H80:L80)</f>
        <v>15000</v>
      </c>
      <c r="N80" s="3">
        <f t="shared" si="12"/>
        <v>0</v>
      </c>
    </row>
    <row r="81" spans="1:14" s="3" customFormat="1" ht="12.75">
      <c r="A81" s="25"/>
      <c r="B81" s="26" t="s">
        <v>59</v>
      </c>
      <c r="C81" s="111" t="str">
        <f>'detailed GEF budget'!C141</f>
        <v>Library acquisitions</v>
      </c>
      <c r="D81" s="16">
        <f>'detailed GEF budget'!D141</f>
        <v>1500</v>
      </c>
      <c r="E81" s="16">
        <f>'detailed GEF budget'!E141</f>
        <v>1500</v>
      </c>
      <c r="F81" s="16">
        <f>'detailed GEF budget'!F141</f>
        <v>1500</v>
      </c>
      <c r="G81" s="23">
        <f>SUM(D81:F81)</f>
        <v>4500</v>
      </c>
      <c r="H81" s="16">
        <f>'detailed GEF budget'!H141</f>
        <v>947</v>
      </c>
      <c r="I81" s="16">
        <f>'detailed GEF budget'!I141</f>
        <v>500</v>
      </c>
      <c r="J81" s="16">
        <f>'detailed GEF budget'!J141</f>
        <v>1500</v>
      </c>
      <c r="K81" s="16">
        <f>'detailed GEF budget'!K141</f>
        <v>1553</v>
      </c>
      <c r="L81" s="16">
        <f>'detailed GEF budget'!L141</f>
        <v>0</v>
      </c>
      <c r="M81" s="23">
        <f>SUM(H81:L81)</f>
        <v>4500</v>
      </c>
      <c r="N81" s="3">
        <f t="shared" si="12"/>
        <v>0</v>
      </c>
    </row>
    <row r="82" spans="1:14" s="3" customFormat="1" ht="25.5">
      <c r="A82" s="25"/>
      <c r="B82" s="26" t="s">
        <v>61</v>
      </c>
      <c r="C82" s="111" t="str">
        <f>'detailed GEF budget'!C142</f>
        <v>Computer Software+ software for the  Volta Basin Clearinghouse System</v>
      </c>
      <c r="D82" s="16">
        <f>'detailed GEF budget'!D142</f>
        <v>10000</v>
      </c>
      <c r="E82" s="16">
        <f>'detailed GEF budget'!E142</f>
        <v>10000</v>
      </c>
      <c r="F82" s="16">
        <f>'detailed GEF budget'!F142</f>
        <v>10000</v>
      </c>
      <c r="G82" s="23">
        <f>SUM(D82:F82)</f>
        <v>30000</v>
      </c>
      <c r="H82" s="16">
        <f>'detailed GEF budget'!H142</f>
        <v>886</v>
      </c>
      <c r="I82" s="16">
        <f>'detailed GEF budget'!I142</f>
        <v>25000</v>
      </c>
      <c r="J82" s="16">
        <f>'detailed GEF budget'!J142</f>
        <v>4114</v>
      </c>
      <c r="K82" s="16">
        <f>'detailed GEF budget'!K142</f>
        <v>0</v>
      </c>
      <c r="L82" s="16">
        <f>'detailed GEF budget'!L142</f>
        <v>0</v>
      </c>
      <c r="M82" s="23">
        <f>SUM(H82:L82)</f>
        <v>30000</v>
      </c>
      <c r="N82" s="3">
        <f t="shared" si="12"/>
        <v>0</v>
      </c>
    </row>
    <row r="83" spans="1:14" s="3" customFormat="1" ht="12.75">
      <c r="A83" s="25"/>
      <c r="B83" s="39" t="s">
        <v>63</v>
      </c>
      <c r="C83" s="102" t="s">
        <v>4</v>
      </c>
      <c r="D83" s="17">
        <f aca="true" t="shared" si="16" ref="D83:M83">SUM(D80:D82)</f>
        <v>16500</v>
      </c>
      <c r="E83" s="17">
        <f t="shared" si="16"/>
        <v>16500</v>
      </c>
      <c r="F83" s="17">
        <f t="shared" si="16"/>
        <v>16500</v>
      </c>
      <c r="G83" s="17">
        <f t="shared" si="16"/>
        <v>49500</v>
      </c>
      <c r="H83" s="17">
        <f t="shared" si="16"/>
        <v>5339.98</v>
      </c>
      <c r="I83" s="17">
        <f t="shared" si="16"/>
        <v>29331.006666666668</v>
      </c>
      <c r="J83" s="17">
        <f t="shared" si="16"/>
        <v>9445.006666666666</v>
      </c>
      <c r="K83" s="17">
        <f t="shared" si="16"/>
        <v>5384.006666666666</v>
      </c>
      <c r="L83" s="17">
        <f t="shared" si="16"/>
        <v>0</v>
      </c>
      <c r="M83" s="17">
        <f t="shared" si="16"/>
        <v>49500</v>
      </c>
      <c r="N83" s="3">
        <f t="shared" si="12"/>
        <v>0</v>
      </c>
    </row>
    <row r="84" spans="1:14" s="3" customFormat="1" ht="12.75">
      <c r="A84" s="59"/>
      <c r="B84" s="72">
        <v>4200</v>
      </c>
      <c r="C84" s="104" t="s">
        <v>90</v>
      </c>
      <c r="D84" s="68"/>
      <c r="E84" s="68"/>
      <c r="F84" s="68"/>
      <c r="G84" s="64"/>
      <c r="H84" s="69"/>
      <c r="I84" s="68"/>
      <c r="J84" s="68"/>
      <c r="K84" s="68"/>
      <c r="L84" s="68"/>
      <c r="M84" s="64"/>
      <c r="N84" s="3">
        <f t="shared" si="12"/>
        <v>0</v>
      </c>
    </row>
    <row r="85" spans="1:14" s="3" customFormat="1" ht="12.75">
      <c r="A85" s="54"/>
      <c r="B85" s="73"/>
      <c r="C85" s="109" t="s">
        <v>96</v>
      </c>
      <c r="D85" s="70"/>
      <c r="E85" s="70"/>
      <c r="F85" s="70"/>
      <c r="G85" s="65"/>
      <c r="H85" s="71"/>
      <c r="I85" s="70"/>
      <c r="J85" s="70"/>
      <c r="K85" s="70"/>
      <c r="L85" s="70"/>
      <c r="M85" s="65"/>
      <c r="N85" s="3">
        <f t="shared" si="12"/>
        <v>0</v>
      </c>
    </row>
    <row r="86" spans="1:14" s="3" customFormat="1" ht="29.25" customHeight="1">
      <c r="A86" s="25"/>
      <c r="B86" s="39" t="s">
        <v>64</v>
      </c>
      <c r="C86" s="111" t="str">
        <f>'detailed GEF budget'!C146</f>
        <v>Computer  Hardware ( Inc. 2 Laptop, copier, serveur)</v>
      </c>
      <c r="D86" s="16">
        <f>'detailed GEF budget'!D146</f>
        <v>11553.526666666667</v>
      </c>
      <c r="E86" s="16">
        <f>'detailed GEF budget'!E146</f>
        <v>11553.526666666667</v>
      </c>
      <c r="F86" s="16">
        <f>'detailed GEF budget'!F146</f>
        <v>11553.526666666667</v>
      </c>
      <c r="G86" s="23">
        <f>SUM(D86:F86)</f>
        <v>34660.58</v>
      </c>
      <c r="H86" s="16">
        <f>'detailed GEF budget'!H146</f>
        <v>9561.579999999998</v>
      </c>
      <c r="I86" s="16">
        <f>'detailed GEF budget'!I146</f>
        <v>20099</v>
      </c>
      <c r="J86" s="16">
        <f>'detailed GEF budget'!J146</f>
        <v>5000</v>
      </c>
      <c r="K86" s="16">
        <f>'detailed GEF budget'!K146</f>
        <v>0</v>
      </c>
      <c r="L86" s="16">
        <f>'detailed GEF budget'!L146</f>
        <v>0</v>
      </c>
      <c r="M86" s="23">
        <f>SUM(H86:L86)</f>
        <v>34660.58</v>
      </c>
      <c r="N86" s="3">
        <f t="shared" si="12"/>
        <v>0</v>
      </c>
    </row>
    <row r="87" spans="1:14" s="3" customFormat="1" ht="12.75">
      <c r="A87" s="25"/>
      <c r="B87" s="39" t="s">
        <v>65</v>
      </c>
      <c r="C87" s="111" t="str">
        <f>'detailed GEF budget'!C147</f>
        <v>Office Equipment</v>
      </c>
      <c r="D87" s="16">
        <f>'detailed GEF budget'!D147</f>
        <v>500</v>
      </c>
      <c r="E87" s="16">
        <f>'detailed GEF budget'!E147</f>
        <v>500</v>
      </c>
      <c r="F87" s="16">
        <f>'detailed GEF budget'!F147</f>
        <v>500</v>
      </c>
      <c r="G87" s="23">
        <f>SUM(D87:F87)</f>
        <v>1500</v>
      </c>
      <c r="H87" s="16">
        <f>'detailed GEF budget'!H147</f>
        <v>0</v>
      </c>
      <c r="I87" s="16">
        <f>'detailed GEF budget'!I147</f>
        <v>500</v>
      </c>
      <c r="J87" s="16">
        <f>'detailed GEF budget'!J147</f>
        <v>500</v>
      </c>
      <c r="K87" s="16">
        <f>'detailed GEF budget'!K147</f>
        <v>500</v>
      </c>
      <c r="L87" s="16">
        <f>'detailed GEF budget'!L147</f>
        <v>0</v>
      </c>
      <c r="M87" s="23">
        <f>SUM(H87:L87)</f>
        <v>1500</v>
      </c>
      <c r="N87" s="3">
        <f t="shared" si="12"/>
        <v>0</v>
      </c>
    </row>
    <row r="88" spans="1:14" s="3" customFormat="1" ht="12.75">
      <c r="A88" s="25"/>
      <c r="B88" s="39" t="s">
        <v>135</v>
      </c>
      <c r="C88" s="111" t="str">
        <f>'detailed GEF budget'!C148</f>
        <v>Digital Video/Camera</v>
      </c>
      <c r="D88" s="16">
        <f>'detailed GEF budget'!D148</f>
        <v>166.66666666666666</v>
      </c>
      <c r="E88" s="16">
        <f>'detailed GEF budget'!E148</f>
        <v>166.66666666666666</v>
      </c>
      <c r="F88" s="16">
        <f>'detailed GEF budget'!F148</f>
        <v>166.66666666666666</v>
      </c>
      <c r="G88" s="23">
        <f>SUM(D88:F88)</f>
        <v>500</v>
      </c>
      <c r="H88" s="16">
        <f>'detailed GEF budget'!H148</f>
        <v>0</v>
      </c>
      <c r="I88" s="16">
        <f>'detailed GEF budget'!I148</f>
        <v>500</v>
      </c>
      <c r="J88" s="16">
        <f>'detailed GEF budget'!J148</f>
        <v>0</v>
      </c>
      <c r="K88" s="16">
        <f>'detailed GEF budget'!K148</f>
        <v>0</v>
      </c>
      <c r="L88" s="16">
        <f>'detailed GEF budget'!L148</f>
        <v>0</v>
      </c>
      <c r="M88" s="23">
        <f>SUM(H88:L88)</f>
        <v>500</v>
      </c>
      <c r="N88" s="3">
        <f t="shared" si="12"/>
        <v>0</v>
      </c>
    </row>
    <row r="89" spans="1:14" s="3" customFormat="1" ht="12.75">
      <c r="A89" s="25"/>
      <c r="B89" s="39" t="s">
        <v>66</v>
      </c>
      <c r="C89" s="102" t="s">
        <v>138</v>
      </c>
      <c r="D89" s="17">
        <f aca="true" t="shared" si="17" ref="D89:M89">SUM(D86:D88)</f>
        <v>12220.193333333333</v>
      </c>
      <c r="E89" s="17">
        <f t="shared" si="17"/>
        <v>12220.193333333333</v>
      </c>
      <c r="F89" s="17">
        <f t="shared" si="17"/>
        <v>12220.193333333333</v>
      </c>
      <c r="G89" s="17">
        <f t="shared" si="17"/>
        <v>36660.58</v>
      </c>
      <c r="H89" s="17">
        <f t="shared" si="17"/>
        <v>9561.579999999998</v>
      </c>
      <c r="I89" s="17">
        <f t="shared" si="17"/>
        <v>21099</v>
      </c>
      <c r="J89" s="17">
        <f t="shared" si="17"/>
        <v>5500</v>
      </c>
      <c r="K89" s="17">
        <f t="shared" si="17"/>
        <v>500</v>
      </c>
      <c r="L89" s="17">
        <f t="shared" si="17"/>
        <v>0</v>
      </c>
      <c r="M89" s="17">
        <f t="shared" si="17"/>
        <v>36660.58</v>
      </c>
      <c r="N89" s="3">
        <f t="shared" si="12"/>
        <v>0</v>
      </c>
    </row>
    <row r="90" spans="1:14" s="3" customFormat="1" ht="12.75">
      <c r="A90" s="59"/>
      <c r="B90" s="72">
        <v>4300</v>
      </c>
      <c r="C90" s="104" t="s">
        <v>122</v>
      </c>
      <c r="D90" s="68"/>
      <c r="E90" s="68"/>
      <c r="F90" s="68"/>
      <c r="G90" s="64"/>
      <c r="H90" s="69"/>
      <c r="I90" s="68"/>
      <c r="J90" s="68"/>
      <c r="K90" s="68"/>
      <c r="L90" s="68"/>
      <c r="M90" s="64"/>
      <c r="N90" s="3">
        <f t="shared" si="12"/>
        <v>0</v>
      </c>
    </row>
    <row r="91" spans="1:14" s="3" customFormat="1" ht="12.75">
      <c r="A91" s="54"/>
      <c r="B91" s="73"/>
      <c r="C91" s="109" t="s">
        <v>123</v>
      </c>
      <c r="D91" s="70"/>
      <c r="E91" s="70"/>
      <c r="F91" s="70"/>
      <c r="G91" s="65"/>
      <c r="H91" s="71"/>
      <c r="I91" s="70"/>
      <c r="J91" s="70"/>
      <c r="K91" s="70"/>
      <c r="L91" s="70"/>
      <c r="M91" s="65"/>
      <c r="N91" s="3">
        <f t="shared" si="12"/>
        <v>0</v>
      </c>
    </row>
    <row r="92" spans="1:14" s="3" customFormat="1" ht="12.75">
      <c r="A92" s="25"/>
      <c r="B92" s="39" t="s">
        <v>67</v>
      </c>
      <c r="C92" s="102" t="str">
        <f>'detailed GEF budget'!C152</f>
        <v>Office Maintenance+Electricity</v>
      </c>
      <c r="D92" s="16">
        <f>'detailed GEF budget'!D152</f>
        <v>2259</v>
      </c>
      <c r="E92" s="16">
        <f>'detailed GEF budget'!E152</f>
        <v>2259</v>
      </c>
      <c r="F92" s="16">
        <f>'detailed GEF budget'!F152</f>
        <v>2259</v>
      </c>
      <c r="G92" s="23">
        <f>SUM(D92:F92)</f>
        <v>6777</v>
      </c>
      <c r="H92" s="16">
        <f>'detailed GEF budget'!H152</f>
        <v>0</v>
      </c>
      <c r="I92" s="16">
        <f>'detailed GEF budget'!I152</f>
        <v>2300</v>
      </c>
      <c r="J92" s="16">
        <f>'detailed GEF budget'!J152</f>
        <v>2000</v>
      </c>
      <c r="K92" s="16">
        <f>'detailed GEF budget'!K152</f>
        <v>2477</v>
      </c>
      <c r="L92" s="16">
        <f>'detailed GEF budget'!L152</f>
        <v>0</v>
      </c>
      <c r="M92" s="23">
        <f>SUM(H92:L92)</f>
        <v>6777</v>
      </c>
      <c r="N92" s="3">
        <f t="shared" si="12"/>
        <v>0</v>
      </c>
    </row>
    <row r="93" spans="1:14" s="3" customFormat="1" ht="12.75">
      <c r="A93" s="25"/>
      <c r="B93" s="39" t="s">
        <v>68</v>
      </c>
      <c r="C93" s="102" t="s">
        <v>138</v>
      </c>
      <c r="D93" s="17">
        <f aca="true" t="shared" si="18" ref="D93:M93">SUM(D92:D92)</f>
        <v>2259</v>
      </c>
      <c r="E93" s="17">
        <f t="shared" si="18"/>
        <v>2259</v>
      </c>
      <c r="F93" s="17">
        <f t="shared" si="18"/>
        <v>2259</v>
      </c>
      <c r="G93" s="17">
        <f t="shared" si="18"/>
        <v>6777</v>
      </c>
      <c r="H93" s="17">
        <f>SUM(H92:H92)</f>
        <v>0</v>
      </c>
      <c r="I93" s="17">
        <f t="shared" si="18"/>
        <v>2300</v>
      </c>
      <c r="J93" s="17">
        <f t="shared" si="18"/>
        <v>2000</v>
      </c>
      <c r="K93" s="17">
        <f>SUM(K92:K92)</f>
        <v>2477</v>
      </c>
      <c r="L93" s="17">
        <f>SUM(L92:L92)</f>
        <v>0</v>
      </c>
      <c r="M93" s="17">
        <f t="shared" si="18"/>
        <v>6777</v>
      </c>
      <c r="N93" s="3">
        <f t="shared" si="12"/>
        <v>0</v>
      </c>
    </row>
    <row r="94" spans="1:14" s="3" customFormat="1" ht="12.75">
      <c r="A94" s="35"/>
      <c r="B94" s="36">
        <v>4999</v>
      </c>
      <c r="C94" s="107" t="s">
        <v>29</v>
      </c>
      <c r="D94" s="17">
        <f aca="true" t="shared" si="19" ref="D94:M94">+D83+D89+D93</f>
        <v>30979.193333333333</v>
      </c>
      <c r="E94" s="17">
        <f t="shared" si="19"/>
        <v>30979.193333333333</v>
      </c>
      <c r="F94" s="17">
        <f t="shared" si="19"/>
        <v>30979.193333333333</v>
      </c>
      <c r="G94" s="17">
        <f t="shared" si="19"/>
        <v>92937.58</v>
      </c>
      <c r="H94" s="17">
        <f t="shared" si="19"/>
        <v>14901.559999999998</v>
      </c>
      <c r="I94" s="17">
        <f t="shared" si="19"/>
        <v>52730.00666666667</v>
      </c>
      <c r="J94" s="17">
        <f t="shared" si="19"/>
        <v>16945.006666666668</v>
      </c>
      <c r="K94" s="17">
        <f t="shared" si="19"/>
        <v>8361.006666666666</v>
      </c>
      <c r="L94" s="17">
        <f t="shared" si="19"/>
        <v>0</v>
      </c>
      <c r="M94" s="17">
        <f t="shared" si="19"/>
        <v>92937.58</v>
      </c>
      <c r="N94" s="3">
        <f t="shared" si="12"/>
        <v>0</v>
      </c>
    </row>
    <row r="95" spans="1:14" s="3" customFormat="1" ht="12.75">
      <c r="A95" s="80">
        <v>50</v>
      </c>
      <c r="B95" s="74" t="s">
        <v>69</v>
      </c>
      <c r="C95" s="108"/>
      <c r="D95" s="61"/>
      <c r="E95" s="61"/>
      <c r="F95" s="61"/>
      <c r="G95" s="62"/>
      <c r="H95" s="63"/>
      <c r="I95" s="61"/>
      <c r="J95" s="61"/>
      <c r="K95" s="61"/>
      <c r="L95" s="61"/>
      <c r="M95" s="64"/>
      <c r="N95" s="3">
        <f t="shared" si="12"/>
        <v>0</v>
      </c>
    </row>
    <row r="96" spans="1:14" s="3" customFormat="1" ht="12.75">
      <c r="A96" s="22"/>
      <c r="B96" s="85" t="s">
        <v>70</v>
      </c>
      <c r="C96" s="99" t="s">
        <v>107</v>
      </c>
      <c r="D96" s="77"/>
      <c r="E96" s="77"/>
      <c r="F96" s="77"/>
      <c r="G96" s="78"/>
      <c r="H96" s="79"/>
      <c r="I96" s="77"/>
      <c r="J96" s="77"/>
      <c r="K96" s="77"/>
      <c r="L96" s="77"/>
      <c r="M96" s="82"/>
      <c r="N96" s="3">
        <f t="shared" si="12"/>
        <v>0</v>
      </c>
    </row>
    <row r="97" spans="1:14" s="3" customFormat="1" ht="12.75">
      <c r="A97" s="54"/>
      <c r="B97" s="75"/>
      <c r="C97" s="100" t="s">
        <v>97</v>
      </c>
      <c r="D97" s="56"/>
      <c r="E97" s="56"/>
      <c r="F97" s="56"/>
      <c r="G97" s="57"/>
      <c r="H97" s="58"/>
      <c r="I97" s="56"/>
      <c r="J97" s="56"/>
      <c r="K97" s="56"/>
      <c r="L97" s="56"/>
      <c r="M97" s="65"/>
      <c r="N97" s="3">
        <f t="shared" si="12"/>
        <v>0</v>
      </c>
    </row>
    <row r="98" spans="1:14" s="3" customFormat="1" ht="12.75">
      <c r="A98" s="25"/>
      <c r="B98" s="26" t="s">
        <v>71</v>
      </c>
      <c r="C98" s="111" t="str">
        <f>'detailed GEF budget'!C158</f>
        <v>Rental &amp; maint. of computer equip.</v>
      </c>
      <c r="D98" s="16">
        <f>'detailed GEF budget'!D158</f>
        <v>1000</v>
      </c>
      <c r="E98" s="16">
        <f>'detailed GEF budget'!E158</f>
        <v>2000</v>
      </c>
      <c r="F98" s="16">
        <f>'detailed GEF budget'!F158</f>
        <v>2000</v>
      </c>
      <c r="G98" s="23">
        <f>SUM(D98:F98)</f>
        <v>5000</v>
      </c>
      <c r="H98" s="16">
        <f>'detailed GEF budget'!H158</f>
        <v>0</v>
      </c>
      <c r="I98" s="16">
        <f>'detailed GEF budget'!I158</f>
        <v>2000</v>
      </c>
      <c r="J98" s="16">
        <f>'detailed GEF budget'!J158</f>
        <v>2000</v>
      </c>
      <c r="K98" s="16">
        <f>'detailed GEF budget'!K158</f>
        <v>1000</v>
      </c>
      <c r="L98" s="16">
        <f>'detailed GEF budget'!L158</f>
        <v>0</v>
      </c>
      <c r="M98" s="23">
        <f>SUM(H98:L98)</f>
        <v>5000</v>
      </c>
      <c r="N98" s="3">
        <f t="shared" si="12"/>
        <v>0</v>
      </c>
    </row>
    <row r="99" spans="1:14" s="3" customFormat="1" ht="12.75">
      <c r="A99" s="25"/>
      <c r="B99" s="26" t="s">
        <v>72</v>
      </c>
      <c r="C99" s="111" t="str">
        <f>'detailed GEF budget'!C159</f>
        <v>Rental &amp; maint. of copiers</v>
      </c>
      <c r="D99" s="16">
        <f>'detailed GEF budget'!D159</f>
        <v>1000</v>
      </c>
      <c r="E99" s="16">
        <f>'detailed GEF budget'!E159</f>
        <v>1000</v>
      </c>
      <c r="F99" s="16">
        <f>'detailed GEF budget'!F159</f>
        <v>1000</v>
      </c>
      <c r="G99" s="23">
        <f>SUM(D99:F99)</f>
        <v>3000</v>
      </c>
      <c r="H99" s="16">
        <f>'detailed GEF budget'!H159</f>
        <v>0</v>
      </c>
      <c r="I99" s="16">
        <f>'detailed GEF budget'!I159</f>
        <v>1000</v>
      </c>
      <c r="J99" s="16">
        <f>'detailed GEF budget'!J159</f>
        <v>1000</v>
      </c>
      <c r="K99" s="16">
        <f>'detailed GEF budget'!K159</f>
        <v>1000</v>
      </c>
      <c r="L99" s="16">
        <f>'detailed GEF budget'!L159</f>
        <v>0</v>
      </c>
      <c r="M99" s="23">
        <f>SUM(H99:L99)</f>
        <v>3000</v>
      </c>
      <c r="N99" s="3">
        <f t="shared" si="12"/>
        <v>0</v>
      </c>
    </row>
    <row r="100" spans="1:14" s="3" customFormat="1" ht="12.75">
      <c r="A100" s="25"/>
      <c r="B100" s="26" t="s">
        <v>73</v>
      </c>
      <c r="C100" s="111" t="str">
        <f>'detailed GEF budget'!C160</f>
        <v>Repair &amp; maint. of vehicles &amp; insurance</v>
      </c>
      <c r="D100" s="16">
        <f>'detailed GEF budget'!D160</f>
        <v>14000</v>
      </c>
      <c r="E100" s="16">
        <f>'detailed GEF budget'!E160</f>
        <v>14000</v>
      </c>
      <c r="F100" s="16">
        <f>'detailed GEF budget'!F160</f>
        <v>14000</v>
      </c>
      <c r="G100" s="23">
        <f>SUM(D100:F100)</f>
        <v>42000</v>
      </c>
      <c r="H100" s="16">
        <f>'detailed GEF budget'!H160</f>
        <v>0</v>
      </c>
      <c r="I100" s="16">
        <f>'detailed GEF budget'!I160</f>
        <v>14000</v>
      </c>
      <c r="J100" s="16">
        <f>'detailed GEF budget'!J160</f>
        <v>14000</v>
      </c>
      <c r="K100" s="16">
        <f>'detailed GEF budget'!K160</f>
        <v>14000</v>
      </c>
      <c r="L100" s="16">
        <f>'detailed GEF budget'!L160</f>
        <v>0</v>
      </c>
      <c r="M100" s="23">
        <f>SUM(H100:L100)</f>
        <v>42000</v>
      </c>
      <c r="N100" s="3">
        <f t="shared" si="12"/>
        <v>0</v>
      </c>
    </row>
    <row r="101" spans="1:14" s="3" customFormat="1" ht="12.75">
      <c r="A101" s="25"/>
      <c r="B101" s="26" t="s">
        <v>74</v>
      </c>
      <c r="C101" s="111" t="str">
        <f>'detailed GEF budget'!C161</f>
        <v>Rental &amp; maint. of other office equip</v>
      </c>
      <c r="D101" s="16">
        <f>'detailed GEF budget'!D161</f>
        <v>500</v>
      </c>
      <c r="E101" s="16">
        <f>'detailed GEF budget'!E161</f>
        <v>500</v>
      </c>
      <c r="F101" s="16">
        <f>'detailed GEF budget'!F161</f>
        <v>500</v>
      </c>
      <c r="G101" s="23">
        <f>SUM(D101:F101)</f>
        <v>1500</v>
      </c>
      <c r="H101" s="16">
        <f>'detailed GEF budget'!H161</f>
        <v>0</v>
      </c>
      <c r="I101" s="16">
        <f>'detailed GEF budget'!I161</f>
        <v>500</v>
      </c>
      <c r="J101" s="16">
        <f>'detailed GEF budget'!J161</f>
        <v>500</v>
      </c>
      <c r="K101" s="16">
        <f>'detailed GEF budget'!K161</f>
        <v>500</v>
      </c>
      <c r="L101" s="16">
        <f>'detailed GEF budget'!L161</f>
        <v>0</v>
      </c>
      <c r="M101" s="23">
        <f>SUM(H101:L101)</f>
        <v>1500</v>
      </c>
      <c r="N101" s="3">
        <f t="shared" si="12"/>
        <v>0</v>
      </c>
    </row>
    <row r="102" spans="1:14" s="3" customFormat="1" ht="12.75">
      <c r="A102" s="25"/>
      <c r="B102" s="26" t="s">
        <v>75</v>
      </c>
      <c r="C102" s="111" t="str">
        <f>'detailed GEF budget'!C162</f>
        <v>Rental of meeting rooms &amp; equip.</v>
      </c>
      <c r="D102" s="16">
        <f>'detailed GEF budget'!D162</f>
        <v>0</v>
      </c>
      <c r="E102" s="16">
        <f>'detailed GEF budget'!E162</f>
        <v>0</v>
      </c>
      <c r="F102" s="16">
        <f>'detailed GEF budget'!F162</f>
        <v>0</v>
      </c>
      <c r="G102" s="23">
        <f>SUM(D102:F102)</f>
        <v>0</v>
      </c>
      <c r="H102" s="16">
        <f>'detailed GEF budget'!H162</f>
        <v>0</v>
      </c>
      <c r="I102" s="16">
        <f>'detailed GEF budget'!I162</f>
        <v>0</v>
      </c>
      <c r="J102" s="16">
        <f>'detailed GEF budget'!J162</f>
        <v>0</v>
      </c>
      <c r="K102" s="16">
        <f>'detailed GEF budget'!K162</f>
        <v>0</v>
      </c>
      <c r="L102" s="16">
        <f>'detailed GEF budget'!L162</f>
        <v>0</v>
      </c>
      <c r="M102" s="23">
        <f>SUM(H102:L102)</f>
        <v>0</v>
      </c>
      <c r="N102" s="3">
        <f t="shared" si="12"/>
        <v>0</v>
      </c>
    </row>
    <row r="103" spans="1:14" s="3" customFormat="1" ht="12.75">
      <c r="A103" s="25"/>
      <c r="B103" s="39" t="s">
        <v>76</v>
      </c>
      <c r="C103" s="102" t="s">
        <v>138</v>
      </c>
      <c r="D103" s="17">
        <f aca="true" t="shared" si="20" ref="D103:M103">SUM(D98:D102)</f>
        <v>16500</v>
      </c>
      <c r="E103" s="17">
        <f t="shared" si="20"/>
        <v>17500</v>
      </c>
      <c r="F103" s="17">
        <f t="shared" si="20"/>
        <v>17500</v>
      </c>
      <c r="G103" s="17">
        <f t="shared" si="20"/>
        <v>51500</v>
      </c>
      <c r="H103" s="17">
        <f t="shared" si="20"/>
        <v>0</v>
      </c>
      <c r="I103" s="17">
        <f t="shared" si="20"/>
        <v>17500</v>
      </c>
      <c r="J103" s="17">
        <f t="shared" si="20"/>
        <v>17500</v>
      </c>
      <c r="K103" s="17">
        <f t="shared" si="20"/>
        <v>16500</v>
      </c>
      <c r="L103" s="17">
        <f t="shared" si="20"/>
        <v>0</v>
      </c>
      <c r="M103" s="17">
        <f t="shared" si="20"/>
        <v>51500</v>
      </c>
      <c r="N103" s="3">
        <f t="shared" si="12"/>
        <v>0</v>
      </c>
    </row>
    <row r="104" spans="1:14" s="3" customFormat="1" ht="12.75">
      <c r="A104" s="59"/>
      <c r="B104" s="72">
        <v>5200</v>
      </c>
      <c r="C104" s="104" t="s">
        <v>129</v>
      </c>
      <c r="D104" s="68"/>
      <c r="E104" s="68"/>
      <c r="F104" s="68"/>
      <c r="G104" s="64"/>
      <c r="H104" s="69"/>
      <c r="I104" s="68"/>
      <c r="J104" s="68"/>
      <c r="K104" s="68"/>
      <c r="L104" s="68"/>
      <c r="M104" s="64"/>
      <c r="N104" s="3">
        <f t="shared" si="12"/>
        <v>0</v>
      </c>
    </row>
    <row r="105" spans="1:14" s="3" customFormat="1" ht="12.75">
      <c r="A105" s="54"/>
      <c r="B105" s="73"/>
      <c r="C105" s="109" t="s">
        <v>98</v>
      </c>
      <c r="D105" s="70"/>
      <c r="E105" s="70"/>
      <c r="F105" s="70"/>
      <c r="G105" s="65"/>
      <c r="H105" s="71"/>
      <c r="I105" s="70"/>
      <c r="J105" s="70"/>
      <c r="K105" s="70"/>
      <c r="L105" s="70"/>
      <c r="M105" s="65"/>
      <c r="N105" s="3">
        <f t="shared" si="12"/>
        <v>0</v>
      </c>
    </row>
    <row r="106" spans="1:14" s="3" customFormat="1" ht="51">
      <c r="A106" s="25"/>
      <c r="B106" s="39" t="s">
        <v>77</v>
      </c>
      <c r="C106" s="102" t="str">
        <f>'detailed GEF budget'!C166</f>
        <v>Document project implementation and communicate results through publications, regional and internal reports, project newspaper  and project website including translation</v>
      </c>
      <c r="D106" s="16">
        <f>'detailed GEF budget'!D166</f>
        <v>93275.06666666667</v>
      </c>
      <c r="E106" s="16">
        <f>'detailed GEF budget'!E166</f>
        <v>93275.06666666667</v>
      </c>
      <c r="F106" s="16">
        <f>'detailed GEF budget'!F166</f>
        <v>93275.06666666667</v>
      </c>
      <c r="G106" s="23">
        <f>SUM(D106:F106)</f>
        <v>279825.2</v>
      </c>
      <c r="H106" s="16">
        <f>'detailed GEF budget'!H166</f>
        <v>2950.2</v>
      </c>
      <c r="I106" s="16">
        <f>'detailed GEF budget'!I166</f>
        <v>36875</v>
      </c>
      <c r="J106" s="16">
        <f>'detailed GEF budget'!J166</f>
        <v>80000</v>
      </c>
      <c r="K106" s="16">
        <f>'detailed GEF budget'!K166</f>
        <v>100000</v>
      </c>
      <c r="L106" s="16">
        <f>'detailed GEF budget'!L166</f>
        <v>60000</v>
      </c>
      <c r="M106" s="23">
        <f>SUM(H106:L106)</f>
        <v>279825.2</v>
      </c>
      <c r="N106" s="3">
        <f t="shared" si="12"/>
        <v>0</v>
      </c>
    </row>
    <row r="107" spans="1:14" s="3" customFormat="1" ht="38.25">
      <c r="A107" s="25"/>
      <c r="B107" s="39" t="s">
        <v>78</v>
      </c>
      <c r="C107" s="102" t="str">
        <f>'detailed GEF budget'!C167</f>
        <v>Document lessons learned from the 3 demonstration projects documented and incorporate them in SAP and NAPs documents</v>
      </c>
      <c r="D107" s="16">
        <f>'detailed GEF budget'!D167</f>
        <v>0</v>
      </c>
      <c r="E107" s="16">
        <f>'detailed GEF budget'!E167</f>
        <v>0</v>
      </c>
      <c r="F107" s="16">
        <f>'detailed GEF budget'!F167</f>
        <v>20000</v>
      </c>
      <c r="G107" s="23">
        <f>SUM(D107:F107)</f>
        <v>20000</v>
      </c>
      <c r="H107" s="16">
        <f>'detailed GEF budget'!H167</f>
        <v>0</v>
      </c>
      <c r="I107" s="16">
        <f>'detailed GEF budget'!I167</f>
        <v>0</v>
      </c>
      <c r="J107" s="16">
        <f>'detailed GEF budget'!J167</f>
        <v>0</v>
      </c>
      <c r="K107" s="16">
        <f>'detailed GEF budget'!K167</f>
        <v>20000</v>
      </c>
      <c r="L107" s="16">
        <f>'detailed GEF budget'!L167</f>
        <v>0</v>
      </c>
      <c r="M107" s="23">
        <f>SUM(H107:L107)</f>
        <v>20000</v>
      </c>
      <c r="N107" s="3">
        <f t="shared" si="12"/>
        <v>0</v>
      </c>
    </row>
    <row r="108" spans="1:14" s="3" customFormat="1" ht="12.75">
      <c r="A108" s="25"/>
      <c r="B108" s="39" t="s">
        <v>79</v>
      </c>
      <c r="C108" s="102" t="s">
        <v>138</v>
      </c>
      <c r="D108" s="17">
        <f aca="true" t="shared" si="21" ref="D108:M108">SUM(D106:D107)</f>
        <v>93275.06666666667</v>
      </c>
      <c r="E108" s="17">
        <f t="shared" si="21"/>
        <v>93275.06666666667</v>
      </c>
      <c r="F108" s="17">
        <f t="shared" si="21"/>
        <v>113275.06666666667</v>
      </c>
      <c r="G108" s="17">
        <f t="shared" si="21"/>
        <v>299825.2</v>
      </c>
      <c r="H108" s="17">
        <f t="shared" si="21"/>
        <v>2950.2</v>
      </c>
      <c r="I108" s="17">
        <f t="shared" si="21"/>
        <v>36875</v>
      </c>
      <c r="J108" s="17">
        <f t="shared" si="21"/>
        <v>80000</v>
      </c>
      <c r="K108" s="17">
        <f t="shared" si="21"/>
        <v>120000</v>
      </c>
      <c r="L108" s="17">
        <f t="shared" si="21"/>
        <v>60000</v>
      </c>
      <c r="M108" s="17">
        <f t="shared" si="21"/>
        <v>299825.2</v>
      </c>
      <c r="N108" s="3">
        <f t="shared" si="12"/>
        <v>0</v>
      </c>
    </row>
    <row r="109" spans="1:14" s="3" customFormat="1" ht="12.75">
      <c r="A109" s="59"/>
      <c r="B109" s="72">
        <v>5300</v>
      </c>
      <c r="C109" s="104" t="s">
        <v>124</v>
      </c>
      <c r="D109" s="68"/>
      <c r="E109" s="68"/>
      <c r="F109" s="68"/>
      <c r="G109" s="64"/>
      <c r="H109" s="69"/>
      <c r="I109" s="68"/>
      <c r="J109" s="68"/>
      <c r="K109" s="68"/>
      <c r="L109" s="68"/>
      <c r="M109" s="64"/>
      <c r="N109" s="3">
        <f t="shared" si="12"/>
        <v>0</v>
      </c>
    </row>
    <row r="110" spans="1:14" s="3" customFormat="1" ht="12.75">
      <c r="A110" s="54"/>
      <c r="B110" s="73"/>
      <c r="C110" s="109" t="s">
        <v>130</v>
      </c>
      <c r="D110" s="16"/>
      <c r="E110" s="70"/>
      <c r="F110" s="70"/>
      <c r="G110" s="65"/>
      <c r="H110" s="71"/>
      <c r="I110" s="70"/>
      <c r="J110" s="70"/>
      <c r="K110" s="70"/>
      <c r="L110" s="70"/>
      <c r="M110" s="65"/>
      <c r="N110" s="3">
        <f t="shared" si="12"/>
        <v>0</v>
      </c>
    </row>
    <row r="111" spans="1:14" s="3" customFormat="1" ht="12.75">
      <c r="A111" s="25"/>
      <c r="B111" s="39" t="s">
        <v>80</v>
      </c>
      <c r="C111" s="102" t="s">
        <v>207</v>
      </c>
      <c r="D111" s="16">
        <f>'detailed GEF budget'!D171</f>
        <v>6249.763333333333</v>
      </c>
      <c r="E111" s="16">
        <f>'detailed GEF budget'!E171</f>
        <v>6249.763333333333</v>
      </c>
      <c r="F111" s="16">
        <f>'detailed GEF budget'!F171</f>
        <v>6249.763333333333</v>
      </c>
      <c r="G111" s="23">
        <f>SUM(D111:F111)</f>
        <v>18749.29</v>
      </c>
      <c r="H111" s="16">
        <f>'detailed GEF budget'!H171</f>
        <v>3749.29</v>
      </c>
      <c r="I111" s="16">
        <f>'detailed GEF budget'!I171</f>
        <v>4000</v>
      </c>
      <c r="J111" s="16">
        <f>'detailed GEF budget'!J171</f>
        <v>4000</v>
      </c>
      <c r="K111" s="16">
        <f>'detailed GEF budget'!K171</f>
        <v>4000</v>
      </c>
      <c r="L111" s="16">
        <f>'detailed GEF budget'!L171</f>
        <v>3000</v>
      </c>
      <c r="M111" s="23">
        <f>SUM(H111:L111)</f>
        <v>18749.29</v>
      </c>
      <c r="N111" s="3">
        <f t="shared" si="12"/>
        <v>0</v>
      </c>
    </row>
    <row r="112" spans="1:14" s="3" customFormat="1" ht="12.75">
      <c r="A112" s="25"/>
      <c r="B112" s="39" t="s">
        <v>81</v>
      </c>
      <c r="C112" s="102" t="s">
        <v>208</v>
      </c>
      <c r="D112" s="16">
        <f>'detailed GEF budget'!D172</f>
        <v>20000</v>
      </c>
      <c r="E112" s="16">
        <f>'detailed GEF budget'!E172</f>
        <v>20000</v>
      </c>
      <c r="F112" s="16">
        <f>'detailed GEF budget'!F172</f>
        <v>20000</v>
      </c>
      <c r="G112" s="23">
        <f>SUM(D112:F112)</f>
        <v>60000</v>
      </c>
      <c r="H112" s="16">
        <f>'detailed GEF budget'!H172</f>
        <v>0</v>
      </c>
      <c r="I112" s="16">
        <f>'detailed GEF budget'!I172</f>
        <v>0</v>
      </c>
      <c r="J112" s="16">
        <f>'detailed GEF budget'!J172</f>
        <v>20000</v>
      </c>
      <c r="K112" s="16">
        <f>'detailed GEF budget'!K172</f>
        <v>0</v>
      </c>
      <c r="L112" s="16">
        <f>'detailed GEF budget'!L172</f>
        <v>40000</v>
      </c>
      <c r="M112" s="23">
        <f>SUM(H112:L112)</f>
        <v>60000</v>
      </c>
      <c r="N112" s="3">
        <f t="shared" si="12"/>
        <v>0</v>
      </c>
    </row>
    <row r="113" spans="1:14" s="3" customFormat="1" ht="12.75">
      <c r="A113" s="25"/>
      <c r="B113" s="39" t="s">
        <v>82</v>
      </c>
      <c r="C113" s="102" t="s">
        <v>209</v>
      </c>
      <c r="D113" s="16">
        <f>'detailed GEF budget'!D173</f>
        <v>4900.21</v>
      </c>
      <c r="E113" s="16">
        <f>'detailed GEF budget'!E173</f>
        <v>4900.21</v>
      </c>
      <c r="F113" s="16">
        <f>'detailed GEF budget'!F173</f>
        <v>4900.21</v>
      </c>
      <c r="G113" s="23">
        <f>SUM(D113:F113)</f>
        <v>14700.630000000001</v>
      </c>
      <c r="H113" s="16">
        <f>'detailed GEF budget'!H173</f>
        <v>2700.63</v>
      </c>
      <c r="I113" s="16">
        <f>'detailed GEF budget'!I173</f>
        <v>3000</v>
      </c>
      <c r="J113" s="16">
        <f>'detailed GEF budget'!J173</f>
        <v>3000</v>
      </c>
      <c r="K113" s="16">
        <f>'detailed GEF budget'!K173</f>
        <v>3000</v>
      </c>
      <c r="L113" s="16">
        <f>'detailed GEF budget'!L173</f>
        <v>3000</v>
      </c>
      <c r="M113" s="23">
        <f>SUM(H113:L113)</f>
        <v>14700.630000000001</v>
      </c>
      <c r="N113" s="3">
        <f t="shared" si="12"/>
        <v>0</v>
      </c>
    </row>
    <row r="114" spans="1:14" s="3" customFormat="1" ht="12.75">
      <c r="A114" s="25"/>
      <c r="B114" s="39" t="s">
        <v>83</v>
      </c>
      <c r="C114" s="102" t="s">
        <v>138</v>
      </c>
      <c r="D114" s="17">
        <f aca="true" t="shared" si="22" ref="D114:M114">SUM(D111:D113)</f>
        <v>31149.97333333333</v>
      </c>
      <c r="E114" s="17">
        <f t="shared" si="22"/>
        <v>31149.97333333333</v>
      </c>
      <c r="F114" s="17">
        <f t="shared" si="22"/>
        <v>31149.97333333333</v>
      </c>
      <c r="G114" s="17">
        <f t="shared" si="22"/>
        <v>93449.92000000001</v>
      </c>
      <c r="H114" s="17">
        <f t="shared" si="22"/>
        <v>6449.92</v>
      </c>
      <c r="I114" s="17">
        <f t="shared" si="22"/>
        <v>7000</v>
      </c>
      <c r="J114" s="17">
        <f t="shared" si="22"/>
        <v>27000</v>
      </c>
      <c r="K114" s="17">
        <f t="shared" si="22"/>
        <v>7000</v>
      </c>
      <c r="L114" s="17">
        <f t="shared" si="22"/>
        <v>46000</v>
      </c>
      <c r="M114" s="17">
        <f t="shared" si="22"/>
        <v>93449.92000000001</v>
      </c>
      <c r="N114" s="3">
        <f t="shared" si="12"/>
        <v>0</v>
      </c>
    </row>
    <row r="115" spans="1:14" s="3" customFormat="1" ht="12.75">
      <c r="A115" s="25"/>
      <c r="B115" s="41">
        <v>5400</v>
      </c>
      <c r="C115" s="106" t="s">
        <v>84</v>
      </c>
      <c r="D115" s="16"/>
      <c r="E115" s="16"/>
      <c r="F115" s="16"/>
      <c r="G115" s="23"/>
      <c r="H115" s="46"/>
      <c r="I115" s="16"/>
      <c r="J115" s="16"/>
      <c r="K115" s="16"/>
      <c r="L115" s="16"/>
      <c r="M115" s="23"/>
      <c r="N115" s="3">
        <f t="shared" si="12"/>
        <v>0</v>
      </c>
    </row>
    <row r="116" spans="1:14" s="3" customFormat="1" ht="12.75">
      <c r="A116" s="25"/>
      <c r="B116" s="39" t="s">
        <v>85</v>
      </c>
      <c r="C116" s="102"/>
      <c r="D116" s="15"/>
      <c r="E116" s="15"/>
      <c r="F116" s="15"/>
      <c r="G116" s="23">
        <f>SUM(D116:F116)</f>
        <v>0</v>
      </c>
      <c r="H116" s="46"/>
      <c r="I116" s="16"/>
      <c r="J116" s="16"/>
      <c r="K116" s="16"/>
      <c r="L116" s="16"/>
      <c r="M116" s="23">
        <f>SUM(H116:K116)</f>
        <v>0</v>
      </c>
      <c r="N116" s="3">
        <f t="shared" si="12"/>
        <v>0</v>
      </c>
    </row>
    <row r="117" spans="1:14" s="3" customFormat="1" ht="12.75">
      <c r="A117" s="25"/>
      <c r="B117" s="42">
        <v>5402</v>
      </c>
      <c r="C117" s="102"/>
      <c r="D117" s="16"/>
      <c r="E117" s="16"/>
      <c r="F117" s="16"/>
      <c r="G117" s="23">
        <f>SUM(D117:F117)</f>
        <v>0</v>
      </c>
      <c r="H117" s="46"/>
      <c r="I117" s="16"/>
      <c r="J117" s="16"/>
      <c r="K117" s="16"/>
      <c r="L117" s="16"/>
      <c r="M117" s="23">
        <f>SUM(H117:K117)</f>
        <v>0</v>
      </c>
      <c r="N117" s="3">
        <f t="shared" si="12"/>
        <v>0</v>
      </c>
    </row>
    <row r="118" spans="1:14" s="3" customFormat="1" ht="12.75">
      <c r="A118" s="25"/>
      <c r="B118" s="39" t="s">
        <v>86</v>
      </c>
      <c r="C118" s="102" t="s">
        <v>138</v>
      </c>
      <c r="D118" s="17">
        <f aca="true" t="shared" si="23" ref="D118:M118">SUM(D116:D117)</f>
        <v>0</v>
      </c>
      <c r="E118" s="17">
        <f t="shared" si="23"/>
        <v>0</v>
      </c>
      <c r="F118" s="17">
        <f t="shared" si="23"/>
        <v>0</v>
      </c>
      <c r="G118" s="17">
        <f t="shared" si="23"/>
        <v>0</v>
      </c>
      <c r="H118" s="17">
        <f t="shared" si="23"/>
        <v>0</v>
      </c>
      <c r="I118" s="17">
        <f t="shared" si="23"/>
        <v>0</v>
      </c>
      <c r="J118" s="17">
        <f t="shared" si="23"/>
        <v>0</v>
      </c>
      <c r="K118" s="17">
        <f t="shared" si="23"/>
        <v>0</v>
      </c>
      <c r="L118" s="17">
        <f t="shared" si="23"/>
        <v>0</v>
      </c>
      <c r="M118" s="17">
        <f t="shared" si="23"/>
        <v>0</v>
      </c>
      <c r="N118" s="3">
        <f t="shared" si="12"/>
        <v>0</v>
      </c>
    </row>
    <row r="119" spans="1:14" s="3" customFormat="1" ht="12.75">
      <c r="A119" s="59"/>
      <c r="B119" s="72">
        <v>5500</v>
      </c>
      <c r="C119" s="104" t="s">
        <v>125</v>
      </c>
      <c r="D119" s="61"/>
      <c r="E119" s="61"/>
      <c r="F119" s="61"/>
      <c r="G119" s="62"/>
      <c r="H119" s="63"/>
      <c r="I119" s="61"/>
      <c r="J119" s="61"/>
      <c r="K119" s="61"/>
      <c r="L119" s="61"/>
      <c r="M119" s="64"/>
      <c r="N119" s="3">
        <f t="shared" si="12"/>
        <v>0</v>
      </c>
    </row>
    <row r="120" spans="1:14" s="3" customFormat="1" ht="12.75">
      <c r="A120" s="54"/>
      <c r="B120" s="73"/>
      <c r="C120" s="109" t="s">
        <v>132</v>
      </c>
      <c r="D120" s="56"/>
      <c r="E120" s="56"/>
      <c r="F120" s="56"/>
      <c r="G120" s="57"/>
      <c r="H120" s="58"/>
      <c r="I120" s="56"/>
      <c r="J120" s="56"/>
      <c r="K120" s="56"/>
      <c r="L120" s="56"/>
      <c r="M120" s="65"/>
      <c r="N120" s="3">
        <f t="shared" si="12"/>
        <v>0</v>
      </c>
    </row>
    <row r="121" spans="1:14" s="3" customFormat="1" ht="25.5">
      <c r="A121" s="25"/>
      <c r="B121" s="39" t="s">
        <v>87</v>
      </c>
      <c r="C121" s="101" t="s">
        <v>212</v>
      </c>
      <c r="D121" s="16">
        <f>'detailed GEF budget'!D181</f>
        <v>0</v>
      </c>
      <c r="E121" s="16">
        <f>'detailed GEF budget'!E181</f>
        <v>0</v>
      </c>
      <c r="F121" s="16">
        <f>'detailed GEF budget'!F181</f>
        <v>45000</v>
      </c>
      <c r="G121" s="23">
        <f>SUM(D121:F121)</f>
        <v>45000</v>
      </c>
      <c r="H121" s="16">
        <f>'detailed GEF budget'!H181</f>
        <v>0</v>
      </c>
      <c r="I121" s="16">
        <f>'detailed GEF budget'!I181</f>
        <v>0</v>
      </c>
      <c r="J121" s="16">
        <f>'detailed GEF budget'!J181</f>
        <v>15000</v>
      </c>
      <c r="K121" s="16">
        <f>'detailed GEF budget'!K181</f>
        <v>0</v>
      </c>
      <c r="L121" s="16">
        <f>'detailed GEF budget'!L181</f>
        <v>30000</v>
      </c>
      <c r="M121" s="23">
        <f>SUM(H121:L121)</f>
        <v>45000</v>
      </c>
      <c r="N121" s="3">
        <f aca="true" t="shared" si="24" ref="N121:N128">G121-M121</f>
        <v>0</v>
      </c>
    </row>
    <row r="122" spans="1:14" s="3" customFormat="1" ht="12.75">
      <c r="A122" s="25"/>
      <c r="B122" s="39" t="s">
        <v>88</v>
      </c>
      <c r="C122" s="102" t="s">
        <v>211</v>
      </c>
      <c r="D122" s="16">
        <f>'detailed GEF budget'!D182</f>
        <v>33333.333333333336</v>
      </c>
      <c r="E122" s="16">
        <f>'detailed GEF budget'!E182</f>
        <v>33333.333333333336</v>
      </c>
      <c r="F122" s="16">
        <f>'detailed GEF budget'!F182</f>
        <v>33333.333333333336</v>
      </c>
      <c r="G122" s="23">
        <f>SUM(D122:F122)</f>
        <v>100000</v>
      </c>
      <c r="H122" s="16">
        <f>'detailed GEF budget'!H182</f>
        <v>0</v>
      </c>
      <c r="I122" s="16">
        <f>'detailed GEF budget'!I182</f>
        <v>0</v>
      </c>
      <c r="J122" s="16">
        <f>'detailed GEF budget'!J182</f>
        <v>40000</v>
      </c>
      <c r="K122" s="16">
        <f>'detailed GEF budget'!K182</f>
        <v>0</v>
      </c>
      <c r="L122" s="16">
        <f>'detailed GEF budget'!L182</f>
        <v>60000</v>
      </c>
      <c r="M122" s="23">
        <f>SUM(H122:L122)</f>
        <v>100000</v>
      </c>
      <c r="N122" s="3">
        <f t="shared" si="24"/>
        <v>0</v>
      </c>
    </row>
    <row r="123" spans="1:14" s="3" customFormat="1" ht="12.75">
      <c r="A123" s="25"/>
      <c r="B123" s="39" t="s">
        <v>89</v>
      </c>
      <c r="C123" s="102" t="s">
        <v>138</v>
      </c>
      <c r="D123" s="17">
        <f aca="true" t="shared" si="25" ref="D123:M123">SUM(D121:D122)</f>
        <v>33333.333333333336</v>
      </c>
      <c r="E123" s="17">
        <f t="shared" si="25"/>
        <v>33333.333333333336</v>
      </c>
      <c r="F123" s="17">
        <f t="shared" si="25"/>
        <v>78333.33333333334</v>
      </c>
      <c r="G123" s="17">
        <f t="shared" si="25"/>
        <v>145000</v>
      </c>
      <c r="H123" s="17">
        <f t="shared" si="25"/>
        <v>0</v>
      </c>
      <c r="I123" s="17">
        <f t="shared" si="25"/>
        <v>0</v>
      </c>
      <c r="J123" s="17">
        <f t="shared" si="25"/>
        <v>55000</v>
      </c>
      <c r="K123" s="17">
        <f t="shared" si="25"/>
        <v>0</v>
      </c>
      <c r="L123" s="17">
        <f t="shared" si="25"/>
        <v>90000</v>
      </c>
      <c r="M123" s="17">
        <f t="shared" si="25"/>
        <v>145000</v>
      </c>
      <c r="N123" s="3">
        <f t="shared" si="24"/>
        <v>0</v>
      </c>
    </row>
    <row r="124" spans="1:14" s="3" customFormat="1" ht="12.75">
      <c r="A124" s="35"/>
      <c r="B124" s="36">
        <v>5999</v>
      </c>
      <c r="C124" s="107" t="s">
        <v>29</v>
      </c>
      <c r="D124" s="17">
        <f aca="true" t="shared" si="26" ref="D124:M124">+D103+D108+D114+D118+D123</f>
        <v>174258.37333333335</v>
      </c>
      <c r="E124" s="17">
        <f t="shared" si="26"/>
        <v>175258.37333333335</v>
      </c>
      <c r="F124" s="17">
        <f t="shared" si="26"/>
        <v>240258.37333333335</v>
      </c>
      <c r="G124" s="17">
        <f t="shared" si="26"/>
        <v>589775.12</v>
      </c>
      <c r="H124" s="17">
        <f t="shared" si="26"/>
        <v>9400.119999999999</v>
      </c>
      <c r="I124" s="17">
        <f t="shared" si="26"/>
        <v>61375</v>
      </c>
      <c r="J124" s="17">
        <f t="shared" si="26"/>
        <v>179500</v>
      </c>
      <c r="K124" s="17">
        <f t="shared" si="26"/>
        <v>143500</v>
      </c>
      <c r="L124" s="17">
        <f t="shared" si="26"/>
        <v>196000</v>
      </c>
      <c r="M124" s="17">
        <f t="shared" si="26"/>
        <v>589775.12</v>
      </c>
      <c r="N124" s="3">
        <f t="shared" si="24"/>
        <v>0</v>
      </c>
    </row>
    <row r="125" spans="1:14" s="3" customFormat="1" ht="12.75">
      <c r="A125" s="22"/>
      <c r="B125" s="19"/>
      <c r="C125" s="112"/>
      <c r="D125" s="15"/>
      <c r="E125" s="15"/>
      <c r="F125" s="15"/>
      <c r="G125" s="48"/>
      <c r="H125" s="27"/>
      <c r="I125" s="15"/>
      <c r="J125" s="15"/>
      <c r="K125" s="15"/>
      <c r="L125" s="15"/>
      <c r="M125" s="37"/>
      <c r="N125" s="3">
        <f t="shared" si="24"/>
        <v>0</v>
      </c>
    </row>
    <row r="126" spans="1:14" s="3" customFormat="1" ht="13.5" thickBot="1">
      <c r="A126" s="49"/>
      <c r="B126" s="50" t="s">
        <v>136</v>
      </c>
      <c r="C126" s="113"/>
      <c r="D126" s="24">
        <f aca="true" t="shared" si="27" ref="D126:M126">+D41+D56+D76+D94+D124</f>
        <v>1332046.96397312</v>
      </c>
      <c r="E126" s="24">
        <f t="shared" si="27"/>
        <v>1818967.0639731202</v>
      </c>
      <c r="F126" s="24">
        <f t="shared" si="27"/>
        <v>1800264.08397312</v>
      </c>
      <c r="G126" s="24">
        <f t="shared" si="27"/>
        <v>4951278.11191936</v>
      </c>
      <c r="H126" s="24">
        <f t="shared" si="27"/>
        <v>710067.5000000001</v>
      </c>
      <c r="I126" s="24">
        <f t="shared" si="27"/>
        <v>1115666.4366666665</v>
      </c>
      <c r="J126" s="24">
        <f t="shared" si="27"/>
        <v>1378446.2070666666</v>
      </c>
      <c r="K126" s="24">
        <f t="shared" si="27"/>
        <v>1180307.5054826667</v>
      </c>
      <c r="L126" s="24">
        <f>+L41+L56+L76+L94+L124</f>
        <v>566790.46270336</v>
      </c>
      <c r="M126" s="24">
        <f t="shared" si="27"/>
        <v>4951278.11191936</v>
      </c>
      <c r="N126" s="3">
        <f t="shared" si="24"/>
        <v>0</v>
      </c>
    </row>
    <row r="127" spans="1:14" s="3" customFormat="1" ht="13.5" thickBot="1">
      <c r="A127" s="49"/>
      <c r="B127" s="50" t="s">
        <v>280</v>
      </c>
      <c r="C127" s="113"/>
      <c r="D127" s="24">
        <f>0.08*D126</f>
        <v>106563.75711784961</v>
      </c>
      <c r="E127" s="24">
        <f aca="true" t="shared" si="28" ref="E127:M127">0.08*E126</f>
        <v>145517.3651178496</v>
      </c>
      <c r="F127" s="24">
        <f t="shared" si="28"/>
        <v>144021.1267178496</v>
      </c>
      <c r="G127" s="24">
        <f t="shared" si="28"/>
        <v>396102.24895354884</v>
      </c>
      <c r="H127" s="24">
        <f t="shared" si="28"/>
        <v>56805.40000000001</v>
      </c>
      <c r="I127" s="24">
        <f t="shared" si="28"/>
        <v>89253.31493333333</v>
      </c>
      <c r="J127" s="24">
        <f t="shared" si="28"/>
        <v>110275.69656533333</v>
      </c>
      <c r="K127" s="24">
        <f t="shared" si="28"/>
        <v>94424.60043861333</v>
      </c>
      <c r="L127" s="24">
        <f t="shared" si="28"/>
        <v>45343.2370162688</v>
      </c>
      <c r="M127" s="24">
        <f t="shared" si="28"/>
        <v>396102.24895354884</v>
      </c>
      <c r="N127" s="3">
        <f t="shared" si="24"/>
        <v>0</v>
      </c>
    </row>
    <row r="128" spans="1:14" s="3" customFormat="1" ht="13.5" thickBot="1">
      <c r="A128" s="49"/>
      <c r="B128" s="50" t="s">
        <v>281</v>
      </c>
      <c r="C128" s="113"/>
      <c r="D128" s="24">
        <f>D126+D127</f>
        <v>1438610.7210909696</v>
      </c>
      <c r="E128" s="24">
        <f aca="true" t="shared" si="29" ref="E128:M128">E126+E127</f>
        <v>1964484.4290909697</v>
      </c>
      <c r="F128" s="24">
        <f t="shared" si="29"/>
        <v>1944285.2106909696</v>
      </c>
      <c r="G128" s="24">
        <f t="shared" si="29"/>
        <v>5347380.360872909</v>
      </c>
      <c r="H128" s="24">
        <f t="shared" si="29"/>
        <v>766872.9000000001</v>
      </c>
      <c r="I128" s="24">
        <f t="shared" si="29"/>
        <v>1204919.7515999998</v>
      </c>
      <c r="J128" s="24">
        <f t="shared" si="29"/>
        <v>1488721.9036319999</v>
      </c>
      <c r="K128" s="24">
        <f t="shared" si="29"/>
        <v>1274732.10592128</v>
      </c>
      <c r="L128" s="24">
        <f t="shared" si="29"/>
        <v>612133.6997196288</v>
      </c>
      <c r="M128" s="24">
        <f t="shared" si="29"/>
        <v>5347380.360872909</v>
      </c>
      <c r="N128" s="3">
        <f t="shared" si="24"/>
        <v>0</v>
      </c>
    </row>
    <row r="129" spans="1:13" s="3" customFormat="1" ht="12.75">
      <c r="A129" s="239"/>
      <c r="B129" s="240"/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</row>
    <row r="130" spans="1:13" s="3" customFormat="1" ht="12.75">
      <c r="A130" s="239"/>
      <c r="B130" s="240"/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</row>
    <row r="131" spans="1:13" s="3" customFormat="1" ht="13.5" thickBot="1">
      <c r="A131" s="239" t="s">
        <v>506</v>
      </c>
      <c r="B131" s="240"/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</row>
    <row r="132" spans="1:13" s="3" customFormat="1" ht="12.75" customHeight="1">
      <c r="A132" s="6"/>
      <c r="B132" s="9"/>
      <c r="C132" s="97"/>
      <c r="D132" s="291" t="s">
        <v>149</v>
      </c>
      <c r="E132" s="292"/>
      <c r="F132" s="292"/>
      <c r="G132" s="293"/>
      <c r="H132" s="291" t="s">
        <v>150</v>
      </c>
      <c r="I132" s="292"/>
      <c r="J132" s="292"/>
      <c r="K132" s="292"/>
      <c r="L132" s="292"/>
      <c r="M132" s="293"/>
    </row>
    <row r="133" spans="1:13" s="14" customFormat="1" ht="12.75" customHeight="1" thickBot="1">
      <c r="A133" s="12"/>
      <c r="B133" s="13"/>
      <c r="C133" s="96"/>
      <c r="D133" s="28">
        <v>1</v>
      </c>
      <c r="E133" s="29">
        <v>2</v>
      </c>
      <c r="F133" s="29">
        <v>3</v>
      </c>
      <c r="G133" s="33" t="s">
        <v>4</v>
      </c>
      <c r="H133" s="44" t="s">
        <v>139</v>
      </c>
      <c r="I133" s="44" t="s">
        <v>140</v>
      </c>
      <c r="J133" s="44" t="s">
        <v>141</v>
      </c>
      <c r="K133" s="44" t="s">
        <v>213</v>
      </c>
      <c r="L133" s="44" t="s">
        <v>618</v>
      </c>
      <c r="M133" s="33" t="s">
        <v>4</v>
      </c>
    </row>
    <row r="134" spans="1:13" s="14" customFormat="1" ht="13.5" thickBot="1">
      <c r="A134" s="288" t="s">
        <v>133</v>
      </c>
      <c r="B134" s="289"/>
      <c r="C134" s="290"/>
      <c r="D134" s="31" t="s">
        <v>5</v>
      </c>
      <c r="E134" s="32" t="s">
        <v>5</v>
      </c>
      <c r="F134" s="32" t="s">
        <v>5</v>
      </c>
      <c r="G134" s="30" t="s">
        <v>5</v>
      </c>
      <c r="H134" s="45" t="s">
        <v>5</v>
      </c>
      <c r="I134" s="32" t="s">
        <v>5</v>
      </c>
      <c r="J134" s="32" t="s">
        <v>5</v>
      </c>
      <c r="K134" s="32" t="s">
        <v>5</v>
      </c>
      <c r="L134" s="32" t="s">
        <v>5</v>
      </c>
      <c r="M134" s="30" t="s">
        <v>5</v>
      </c>
    </row>
    <row r="135" spans="1:13" s="3" customFormat="1" ht="26.25" customHeight="1">
      <c r="A135" s="20">
        <v>10</v>
      </c>
      <c r="C135" s="101" t="s">
        <v>507</v>
      </c>
      <c r="D135" s="51">
        <f>D41</f>
        <v>762862.6906397867</v>
      </c>
      <c r="E135" s="51">
        <f aca="true" t="shared" si="30" ref="E135:M135">E41</f>
        <v>935900.8306397867</v>
      </c>
      <c r="F135" s="51">
        <f t="shared" si="30"/>
        <v>670297.8506397867</v>
      </c>
      <c r="G135" s="51">
        <f t="shared" si="30"/>
        <v>2369061.37191936</v>
      </c>
      <c r="H135" s="51">
        <f t="shared" si="30"/>
        <v>546911.78</v>
      </c>
      <c r="I135" s="51">
        <f t="shared" si="30"/>
        <v>374361.43</v>
      </c>
      <c r="J135" s="51">
        <f t="shared" si="30"/>
        <v>618776.2004</v>
      </c>
      <c r="K135" s="51">
        <f t="shared" si="30"/>
        <v>458221.498816</v>
      </c>
      <c r="L135" s="51">
        <f>L41</f>
        <v>370790.46270336007</v>
      </c>
      <c r="M135" s="51">
        <f t="shared" si="30"/>
        <v>2369061.37191936</v>
      </c>
    </row>
    <row r="136" spans="1:13" s="3" customFormat="1" ht="26.25" thickBot="1">
      <c r="A136" s="80">
        <v>20</v>
      </c>
      <c r="B136" s="74"/>
      <c r="C136" s="101" t="s">
        <v>508</v>
      </c>
      <c r="D136" s="61">
        <f>D56</f>
        <v>97162</v>
      </c>
      <c r="E136" s="61">
        <f aca="true" t="shared" si="31" ref="E136:M136">E56</f>
        <v>97162</v>
      </c>
      <c r="F136" s="61">
        <f t="shared" si="31"/>
        <v>757062</v>
      </c>
      <c r="G136" s="61">
        <f t="shared" si="31"/>
        <v>951386</v>
      </c>
      <c r="H136" s="61">
        <f t="shared" si="31"/>
        <v>47736</v>
      </c>
      <c r="I136" s="61">
        <f t="shared" si="31"/>
        <v>411200</v>
      </c>
      <c r="J136" s="61">
        <f t="shared" si="31"/>
        <v>246225</v>
      </c>
      <c r="K136" s="61">
        <f t="shared" si="31"/>
        <v>246225</v>
      </c>
      <c r="L136" s="61">
        <f>L56</f>
        <v>0</v>
      </c>
      <c r="M136" s="61">
        <f t="shared" si="31"/>
        <v>951386</v>
      </c>
    </row>
    <row r="137" spans="1:13" s="3" customFormat="1" ht="26.25" thickBot="1">
      <c r="A137" s="84">
        <v>30</v>
      </c>
      <c r="B137" s="85"/>
      <c r="C137" s="243" t="s">
        <v>509</v>
      </c>
      <c r="D137" s="77">
        <f>D76</f>
        <v>266784.70666666667</v>
      </c>
      <c r="E137" s="77">
        <f aca="true" t="shared" si="32" ref="E137:M137">E76</f>
        <v>579666.6666666667</v>
      </c>
      <c r="F137" s="77">
        <f t="shared" si="32"/>
        <v>101666.66666666667</v>
      </c>
      <c r="G137" s="77">
        <f t="shared" si="32"/>
        <v>948118.04</v>
      </c>
      <c r="H137" s="77">
        <f t="shared" si="32"/>
        <v>91118.04</v>
      </c>
      <c r="I137" s="77">
        <f t="shared" si="32"/>
        <v>216000</v>
      </c>
      <c r="J137" s="77">
        <f t="shared" si="32"/>
        <v>317000</v>
      </c>
      <c r="K137" s="77">
        <f t="shared" si="32"/>
        <v>324000</v>
      </c>
      <c r="L137" s="77">
        <f>L76</f>
        <v>0</v>
      </c>
      <c r="M137" s="77">
        <f t="shared" si="32"/>
        <v>948118.04</v>
      </c>
    </row>
    <row r="138" spans="1:13" s="3" customFormat="1" ht="13.5" thickBot="1">
      <c r="A138" s="80">
        <v>40</v>
      </c>
      <c r="B138" s="86"/>
      <c r="C138" s="243" t="s">
        <v>510</v>
      </c>
      <c r="D138" s="61">
        <f>D94</f>
        <v>30979.193333333333</v>
      </c>
      <c r="E138" s="61">
        <f aca="true" t="shared" si="33" ref="E138:M138">E94</f>
        <v>30979.193333333333</v>
      </c>
      <c r="F138" s="61">
        <f t="shared" si="33"/>
        <v>30979.193333333333</v>
      </c>
      <c r="G138" s="61">
        <f t="shared" si="33"/>
        <v>92937.58</v>
      </c>
      <c r="H138" s="61">
        <f t="shared" si="33"/>
        <v>14901.559999999998</v>
      </c>
      <c r="I138" s="61">
        <f t="shared" si="33"/>
        <v>52730.00666666667</v>
      </c>
      <c r="J138" s="61">
        <f t="shared" si="33"/>
        <v>16945.006666666668</v>
      </c>
      <c r="K138" s="61">
        <f t="shared" si="33"/>
        <v>8361.006666666666</v>
      </c>
      <c r="L138" s="61">
        <f>L94</f>
        <v>0</v>
      </c>
      <c r="M138" s="61">
        <f t="shared" si="33"/>
        <v>92937.58</v>
      </c>
    </row>
    <row r="139" spans="1:13" s="3" customFormat="1" ht="39" thickBot="1">
      <c r="A139" s="80">
        <v>50</v>
      </c>
      <c r="B139" s="74"/>
      <c r="C139" s="244" t="s">
        <v>511</v>
      </c>
      <c r="D139" s="61">
        <f>D124</f>
        <v>174258.37333333335</v>
      </c>
      <c r="E139" s="61">
        <f aca="true" t="shared" si="34" ref="E139:M139">E124</f>
        <v>175258.37333333335</v>
      </c>
      <c r="F139" s="61">
        <f t="shared" si="34"/>
        <v>240258.37333333335</v>
      </c>
      <c r="G139" s="61">
        <f t="shared" si="34"/>
        <v>589775.12</v>
      </c>
      <c r="H139" s="61">
        <f t="shared" si="34"/>
        <v>9400.119999999999</v>
      </c>
      <c r="I139" s="61">
        <f t="shared" si="34"/>
        <v>61375</v>
      </c>
      <c r="J139" s="61">
        <f t="shared" si="34"/>
        <v>179500</v>
      </c>
      <c r="K139" s="61">
        <f t="shared" si="34"/>
        <v>143500</v>
      </c>
      <c r="L139" s="61">
        <f>L124</f>
        <v>196000</v>
      </c>
      <c r="M139" s="61">
        <f t="shared" si="34"/>
        <v>589775.12</v>
      </c>
    </row>
    <row r="140" spans="1:13" s="3" customFormat="1" ht="13.5" thickBot="1">
      <c r="A140" s="49"/>
      <c r="B140" s="50" t="s">
        <v>136</v>
      </c>
      <c r="C140" s="113"/>
      <c r="D140" s="24">
        <f>D126</f>
        <v>1332046.96397312</v>
      </c>
      <c r="E140" s="24">
        <f aca="true" t="shared" si="35" ref="E140:M140">E126</f>
        <v>1818967.0639731202</v>
      </c>
      <c r="F140" s="24">
        <f t="shared" si="35"/>
        <v>1800264.08397312</v>
      </c>
      <c r="G140" s="24">
        <f t="shared" si="35"/>
        <v>4951278.11191936</v>
      </c>
      <c r="H140" s="24">
        <f t="shared" si="35"/>
        <v>710067.5000000001</v>
      </c>
      <c r="I140" s="24">
        <f t="shared" si="35"/>
        <v>1115666.4366666665</v>
      </c>
      <c r="J140" s="24">
        <f t="shared" si="35"/>
        <v>1378446.2070666666</v>
      </c>
      <c r="K140" s="24">
        <f t="shared" si="35"/>
        <v>1180307.5054826667</v>
      </c>
      <c r="L140" s="24">
        <f>L126</f>
        <v>566790.46270336</v>
      </c>
      <c r="M140" s="24">
        <f t="shared" si="35"/>
        <v>4951278.11191936</v>
      </c>
    </row>
    <row r="141" spans="1:13" s="3" customFormat="1" ht="13.5" thickBot="1">
      <c r="A141" s="49"/>
      <c r="B141" s="50" t="s">
        <v>280</v>
      </c>
      <c r="C141" s="113"/>
      <c r="D141" s="24">
        <f>0.08*D140</f>
        <v>106563.75711784961</v>
      </c>
      <c r="E141" s="24">
        <f aca="true" t="shared" si="36" ref="E141:M141">0.08*E140</f>
        <v>145517.3651178496</v>
      </c>
      <c r="F141" s="24">
        <f t="shared" si="36"/>
        <v>144021.1267178496</v>
      </c>
      <c r="G141" s="24">
        <f t="shared" si="36"/>
        <v>396102.24895354884</v>
      </c>
      <c r="H141" s="24">
        <f t="shared" si="36"/>
        <v>56805.40000000001</v>
      </c>
      <c r="I141" s="24">
        <f t="shared" si="36"/>
        <v>89253.31493333333</v>
      </c>
      <c r="J141" s="24">
        <f t="shared" si="36"/>
        <v>110275.69656533333</v>
      </c>
      <c r="K141" s="24">
        <f t="shared" si="36"/>
        <v>94424.60043861333</v>
      </c>
      <c r="L141" s="24">
        <f t="shared" si="36"/>
        <v>45343.2370162688</v>
      </c>
      <c r="M141" s="24">
        <f t="shared" si="36"/>
        <v>396102.24895354884</v>
      </c>
    </row>
    <row r="142" spans="1:13" s="3" customFormat="1" ht="13.5" thickBot="1">
      <c r="A142" s="49"/>
      <c r="B142" s="50" t="s">
        <v>281</v>
      </c>
      <c r="C142" s="113"/>
      <c r="D142" s="24">
        <f>D140+D141</f>
        <v>1438610.7210909696</v>
      </c>
      <c r="E142" s="24">
        <f aca="true" t="shared" si="37" ref="E142:M142">E140+E141</f>
        <v>1964484.4290909697</v>
      </c>
      <c r="F142" s="24">
        <f t="shared" si="37"/>
        <v>1944285.2106909696</v>
      </c>
      <c r="G142" s="24">
        <f t="shared" si="37"/>
        <v>5347380.360872909</v>
      </c>
      <c r="H142" s="24">
        <f t="shared" si="37"/>
        <v>766872.9000000001</v>
      </c>
      <c r="I142" s="24">
        <f t="shared" si="37"/>
        <v>1204919.7515999998</v>
      </c>
      <c r="J142" s="24">
        <f t="shared" si="37"/>
        <v>1488721.9036319999</v>
      </c>
      <c r="K142" s="24">
        <f t="shared" si="37"/>
        <v>1274732.10592128</v>
      </c>
      <c r="L142" s="24">
        <f t="shared" si="37"/>
        <v>612133.6997196288</v>
      </c>
      <c r="M142" s="24">
        <f t="shared" si="37"/>
        <v>5347380.360872909</v>
      </c>
    </row>
    <row r="143" spans="1:13" ht="15">
      <c r="A143" s="7"/>
      <c r="B143" s="10"/>
      <c r="C143" s="114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  <c r="M290" s="1"/>
    </row>
  </sheetData>
  <mergeCells count="7">
    <mergeCell ref="D132:G132"/>
    <mergeCell ref="H132:M132"/>
    <mergeCell ref="A134:C134"/>
    <mergeCell ref="A1:M1"/>
    <mergeCell ref="A11:C11"/>
    <mergeCell ref="D9:G9"/>
    <mergeCell ref="H9:M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7"/>
  <sheetViews>
    <sheetView showGridLines="0" zoomScale="140" zoomScaleNormal="140" zoomScaleSheetLayoutView="100" workbookViewId="0" topLeftCell="A43">
      <selection activeCell="C47" sqref="C47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hidden="1" customWidth="1"/>
    <col min="5" max="5" width="8.796875" style="0" bestFit="1" customWidth="1"/>
    <col min="6" max="6" width="8" style="0" bestFit="1" customWidth="1"/>
    <col min="7" max="7" width="7.8984375" style="0" bestFit="1" customWidth="1"/>
    <col min="8" max="8" width="8.09765625" style="0" customWidth="1"/>
    <col min="9" max="9" width="7.59765625" style="0" bestFit="1" customWidth="1"/>
    <col min="10" max="10" width="8" style="0" bestFit="1" customWidth="1"/>
    <col min="11" max="11" width="7.296875" style="0" bestFit="1" customWidth="1"/>
    <col min="12" max="12" width="9" style="0" bestFit="1" customWidth="1"/>
    <col min="13" max="13" width="9.296875" style="0" bestFit="1" customWidth="1"/>
    <col min="14" max="14" width="6.8984375" style="0" bestFit="1" customWidth="1"/>
    <col min="15" max="15" width="12.09765625" style="0" bestFit="1" customWidth="1"/>
    <col min="16" max="16" width="9.8984375" style="0" bestFit="1" customWidth="1"/>
    <col min="17" max="17" width="7.796875" style="0" bestFit="1" customWidth="1"/>
    <col min="18" max="18" width="6.8984375" style="0" bestFit="1" customWidth="1"/>
    <col min="19" max="19" width="7.296875" style="0" bestFit="1" customWidth="1"/>
    <col min="20" max="20" width="9.8984375" style="0" bestFit="1" customWidth="1"/>
    <col min="21" max="21" width="7.19921875" style="0" bestFit="1" customWidth="1"/>
    <col min="22" max="22" width="7.3984375" style="0" bestFit="1" customWidth="1"/>
    <col min="23" max="23" width="6.09765625" style="0" bestFit="1" customWidth="1"/>
    <col min="24" max="24" width="7" style="0" bestFit="1" customWidth="1"/>
    <col min="25" max="25" width="5.19921875" style="0" bestFit="1" customWidth="1"/>
    <col min="26" max="27" width="6.8984375" style="0" bestFit="1" customWidth="1"/>
    <col min="28" max="28" width="9.59765625" style="0" bestFit="1" customWidth="1"/>
    <col min="29" max="29" width="11.59765625" style="0" bestFit="1" customWidth="1"/>
    <col min="30" max="16384" width="11.59765625" style="0" customWidth="1"/>
  </cols>
  <sheetData>
    <row r="1" spans="1:21" s="3" customFormat="1" ht="30.75" customHeight="1">
      <c r="A1" s="294" t="s">
        <v>144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179"/>
      <c r="Q1" s="179"/>
      <c r="R1" s="179"/>
      <c r="S1" s="179"/>
      <c r="T1" s="179"/>
      <c r="U1" s="179"/>
    </row>
    <row r="3" spans="1:29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 ht="14.25">
      <c r="A4" s="43" t="s">
        <v>131</v>
      </c>
      <c r="B4" s="9"/>
      <c r="C4" s="116"/>
      <c r="E4" s="2" t="s">
        <v>223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" customFormat="1" ht="14.25">
      <c r="A5" s="43" t="s">
        <v>137</v>
      </c>
      <c r="B5" s="9"/>
      <c r="C5" s="116"/>
      <c r="E5" s="2" t="s">
        <v>224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3" customFormat="1" ht="9.75" customHeight="1">
      <c r="A6" s="43"/>
      <c r="B6" s="9"/>
      <c r="C6" s="1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3" customFormat="1" ht="14.25">
      <c r="A7" s="43" t="s">
        <v>142</v>
      </c>
      <c r="B7" s="9"/>
      <c r="C7" s="1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3" customFormat="1" ht="15" thickBot="1">
      <c r="A8" s="43"/>
      <c r="B8" s="9"/>
      <c r="C8" s="1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94" customFormat="1" ht="25.5" customHeight="1">
      <c r="A9" s="90"/>
      <c r="B9" s="90"/>
      <c r="C9" s="116"/>
      <c r="D9" s="91" t="s">
        <v>4</v>
      </c>
      <c r="E9" s="91" t="s">
        <v>146</v>
      </c>
      <c r="F9" s="92" t="s">
        <v>460</v>
      </c>
      <c r="G9" s="92" t="s">
        <v>461</v>
      </c>
      <c r="H9" s="92" t="s">
        <v>462</v>
      </c>
      <c r="I9" s="92" t="s">
        <v>463</v>
      </c>
      <c r="J9" s="92" t="s">
        <v>464</v>
      </c>
      <c r="K9" s="92" t="s">
        <v>465</v>
      </c>
      <c r="L9" s="92" t="s">
        <v>338</v>
      </c>
      <c r="M9" s="92" t="s">
        <v>339</v>
      </c>
      <c r="N9" s="92" t="s">
        <v>148</v>
      </c>
      <c r="O9" s="93" t="s">
        <v>419</v>
      </c>
      <c r="P9" s="92" t="s">
        <v>460</v>
      </c>
      <c r="Q9" s="92" t="s">
        <v>461</v>
      </c>
      <c r="R9" s="92" t="s">
        <v>462</v>
      </c>
      <c r="S9" s="92" t="s">
        <v>463</v>
      </c>
      <c r="T9" s="92" t="s">
        <v>464</v>
      </c>
      <c r="U9" s="92" t="s">
        <v>465</v>
      </c>
      <c r="V9" s="92" t="s">
        <v>438</v>
      </c>
      <c r="W9" s="92" t="s">
        <v>439</v>
      </c>
      <c r="X9" s="92" t="s">
        <v>440</v>
      </c>
      <c r="Y9" s="92" t="s">
        <v>441</v>
      </c>
      <c r="Z9" s="92" t="s">
        <v>436</v>
      </c>
      <c r="AA9" s="92" t="s">
        <v>437</v>
      </c>
      <c r="AB9" s="93" t="s">
        <v>420</v>
      </c>
      <c r="AC9" s="93" t="s">
        <v>421</v>
      </c>
    </row>
    <row r="10" spans="1:29" s="14" customFormat="1" ht="12.75" customHeight="1" thickBot="1">
      <c r="A10" s="12"/>
      <c r="B10" s="13"/>
      <c r="C10" s="116"/>
      <c r="D10" s="87"/>
      <c r="E10" s="89" t="s">
        <v>231</v>
      </c>
      <c r="F10" s="89" t="s">
        <v>231</v>
      </c>
      <c r="G10" s="89" t="s">
        <v>231</v>
      </c>
      <c r="H10" s="89" t="s">
        <v>231</v>
      </c>
      <c r="I10" s="89" t="s">
        <v>231</v>
      </c>
      <c r="J10" s="89" t="s">
        <v>231</v>
      </c>
      <c r="K10" s="89" t="s">
        <v>231</v>
      </c>
      <c r="L10" s="89" t="s">
        <v>231</v>
      </c>
      <c r="M10" s="89" t="s">
        <v>231</v>
      </c>
      <c r="N10" s="89" t="s">
        <v>143</v>
      </c>
      <c r="O10" s="88"/>
      <c r="P10" s="89" t="s">
        <v>289</v>
      </c>
      <c r="Q10" s="89" t="s">
        <v>289</v>
      </c>
      <c r="R10" s="89" t="s">
        <v>289</v>
      </c>
      <c r="S10" s="89" t="s">
        <v>289</v>
      </c>
      <c r="T10" s="89" t="s">
        <v>289</v>
      </c>
      <c r="U10" s="89" t="s">
        <v>289</v>
      </c>
      <c r="V10" s="89" t="s">
        <v>289</v>
      </c>
      <c r="W10" s="89" t="s">
        <v>289</v>
      </c>
      <c r="X10" s="89" t="s">
        <v>289</v>
      </c>
      <c r="Y10" s="89" t="s">
        <v>289</v>
      </c>
      <c r="Z10" s="89" t="s">
        <v>289</v>
      </c>
      <c r="AA10" s="89" t="s">
        <v>289</v>
      </c>
      <c r="AB10" s="88"/>
      <c r="AC10" s="88"/>
    </row>
    <row r="11" spans="1:29" s="14" customFormat="1" ht="12.75" customHeight="1" thickBot="1">
      <c r="A11" s="288" t="s">
        <v>133</v>
      </c>
      <c r="B11" s="289"/>
      <c r="C11" s="290"/>
      <c r="D11" s="31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2" t="s">
        <v>5</v>
      </c>
      <c r="N11" s="32" t="s">
        <v>5</v>
      </c>
      <c r="O11" s="30" t="s">
        <v>5</v>
      </c>
      <c r="P11" s="32" t="s">
        <v>5</v>
      </c>
      <c r="Q11" s="32" t="s">
        <v>5</v>
      </c>
      <c r="R11" s="32" t="s">
        <v>5</v>
      </c>
      <c r="S11" s="32" t="s">
        <v>5</v>
      </c>
      <c r="T11" s="32" t="s">
        <v>5</v>
      </c>
      <c r="U11" s="32" t="s">
        <v>5</v>
      </c>
      <c r="V11" s="32" t="s">
        <v>5</v>
      </c>
      <c r="W11" s="32" t="s">
        <v>5</v>
      </c>
      <c r="X11" s="32" t="s">
        <v>5</v>
      </c>
      <c r="Y11" s="32" t="s">
        <v>5</v>
      </c>
      <c r="Z11" s="32" t="s">
        <v>5</v>
      </c>
      <c r="AA11" s="32" t="s">
        <v>5</v>
      </c>
      <c r="AB11" s="30" t="s">
        <v>5</v>
      </c>
      <c r="AC11" s="30" t="s">
        <v>5</v>
      </c>
    </row>
    <row r="12" spans="1:29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</row>
    <row r="13" spans="1:29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</row>
    <row r="14" spans="1:29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</row>
    <row r="15" spans="1:29" s="3" customFormat="1" ht="12.75">
      <c r="A15" s="25"/>
      <c r="B15" s="26" t="s">
        <v>8</v>
      </c>
      <c r="C15" s="120" t="str">
        <f>'detailed GEF budget BIS'!C15</f>
        <v>Regional Project Coordinator 48 (w/m)</v>
      </c>
      <c r="D15" s="16">
        <f>'detailed GEF budget BIS'!G15</f>
        <v>843181.16872384</v>
      </c>
      <c r="E15" s="16">
        <f>D15</f>
        <v>843181.16872384</v>
      </c>
      <c r="F15" s="16"/>
      <c r="G15" s="16"/>
      <c r="H15" s="16"/>
      <c r="I15" s="16"/>
      <c r="J15" s="16"/>
      <c r="K15" s="16"/>
      <c r="L15" s="16"/>
      <c r="M15" s="16"/>
      <c r="N15" s="16"/>
      <c r="O15" s="23">
        <f>SUM(E15:N15)</f>
        <v>843181.16872384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3">
        <f>SUM(P15:AA15)</f>
        <v>0</v>
      </c>
      <c r="AC15" s="23">
        <f>O15+AB15</f>
        <v>843181.16872384</v>
      </c>
    </row>
    <row r="16" spans="1:29" s="3" customFormat="1" ht="12.75">
      <c r="A16" s="25"/>
      <c r="B16" s="26" t="s">
        <v>9</v>
      </c>
      <c r="C16" s="120" t="str">
        <f>'detailed GEF budget BIS'!C16</f>
        <v>Scientific and Information Officer 48 (w/m)</v>
      </c>
      <c r="D16" s="16">
        <f>'detailed GEF budget BIS'!G16</f>
        <v>605038.286</v>
      </c>
      <c r="E16" s="16">
        <f>D16</f>
        <v>605038.286</v>
      </c>
      <c r="F16" s="16"/>
      <c r="G16" s="16"/>
      <c r="H16" s="16"/>
      <c r="I16" s="16"/>
      <c r="J16" s="16"/>
      <c r="K16" s="16"/>
      <c r="L16" s="16"/>
      <c r="M16" s="16"/>
      <c r="N16" s="16"/>
      <c r="O16" s="23">
        <f>SUM(E16:N16)</f>
        <v>605038.286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">
        <f>SUM(P16:AA16)</f>
        <v>0</v>
      </c>
      <c r="AC16" s="23">
        <f>O16+AB16</f>
        <v>605038.286</v>
      </c>
    </row>
    <row r="17" spans="1:29" s="3" customFormat="1" ht="12.75">
      <c r="A17" s="25"/>
      <c r="B17" s="26" t="s">
        <v>422</v>
      </c>
      <c r="C17" s="120" t="s">
        <v>385</v>
      </c>
      <c r="D17" s="16"/>
      <c r="E17" s="16"/>
      <c r="F17" s="16">
        <f>COUNTRIES!B103</f>
        <v>0</v>
      </c>
      <c r="G17" s="16">
        <f>COUNTRIES!C103</f>
        <v>0</v>
      </c>
      <c r="H17" s="16">
        <f>COUNTRIES!D103</f>
        <v>0</v>
      </c>
      <c r="I17" s="16">
        <f>COUNTRIES!E103</f>
        <v>0</v>
      </c>
      <c r="J17" s="16">
        <f>COUNTRIES!F103</f>
        <v>0</v>
      </c>
      <c r="K17" s="16">
        <f>COUNTRIES!G103</f>
        <v>0</v>
      </c>
      <c r="L17" s="16"/>
      <c r="M17" s="16"/>
      <c r="N17" s="16"/>
      <c r="O17" s="23">
        <f>SUM(E17:N17)</f>
        <v>0</v>
      </c>
      <c r="P17" s="16">
        <f>COUNTRIES!J103</f>
        <v>21600</v>
      </c>
      <c r="Q17" s="16">
        <f>COUNTRIES!K103</f>
        <v>50000</v>
      </c>
      <c r="R17" s="16">
        <f>COUNTRIES!L103</f>
        <v>100000</v>
      </c>
      <c r="S17" s="16">
        <f>COUNTRIES!M103</f>
        <v>24000</v>
      </c>
      <c r="T17" s="16">
        <f>COUNTRIES!N103</f>
        <v>23000</v>
      </c>
      <c r="U17" s="16">
        <f>COUNTRIES!O103</f>
        <v>40000</v>
      </c>
      <c r="V17" s="16"/>
      <c r="W17" s="16"/>
      <c r="X17" s="16"/>
      <c r="Y17" s="16"/>
      <c r="Z17" s="16"/>
      <c r="AA17" s="16"/>
      <c r="AB17" s="23">
        <f>SUM(P17:AA17)</f>
        <v>258600</v>
      </c>
      <c r="AC17" s="23">
        <f>O17+AB17</f>
        <v>258600</v>
      </c>
    </row>
    <row r="18" spans="1:29" s="3" customFormat="1" ht="12.75">
      <c r="A18" s="25"/>
      <c r="B18" s="26" t="s">
        <v>423</v>
      </c>
      <c r="C18" s="120" t="s">
        <v>386</v>
      </c>
      <c r="D18" s="16"/>
      <c r="E18" s="16"/>
      <c r="F18" s="16">
        <f>COUNTRIES!B104</f>
        <v>0</v>
      </c>
      <c r="G18" s="16">
        <f>COUNTRIES!C104</f>
        <v>0</v>
      </c>
      <c r="H18" s="16">
        <f>COUNTRIES!D104</f>
        <v>0</v>
      </c>
      <c r="I18" s="16">
        <f>COUNTRIES!E104</f>
        <v>0</v>
      </c>
      <c r="J18" s="16">
        <f>COUNTRIES!F104</f>
        <v>0</v>
      </c>
      <c r="K18" s="16">
        <f>COUNTRIES!G104</f>
        <v>0</v>
      </c>
      <c r="L18" s="16"/>
      <c r="M18" s="16"/>
      <c r="N18" s="16"/>
      <c r="O18" s="23">
        <f>SUM(E18:N18)</f>
        <v>0</v>
      </c>
      <c r="P18" s="16">
        <f>COUNTRIES!J104</f>
        <v>21600</v>
      </c>
      <c r="Q18" s="16">
        <f>COUNTRIES!K104</f>
        <v>50000</v>
      </c>
      <c r="R18" s="16">
        <f>COUNTRIES!L104</f>
        <v>72000</v>
      </c>
      <c r="S18" s="16">
        <f>COUNTRIES!M104</f>
        <v>24000</v>
      </c>
      <c r="T18" s="16">
        <f>COUNTRIES!N104</f>
        <v>23000</v>
      </c>
      <c r="U18" s="16">
        <f>COUNTRIES!O104</f>
        <v>40000</v>
      </c>
      <c r="V18" s="16"/>
      <c r="W18" s="16"/>
      <c r="X18" s="16"/>
      <c r="Y18" s="16"/>
      <c r="Z18" s="16"/>
      <c r="AA18" s="16"/>
      <c r="AB18" s="23">
        <f>SUM(P18:AA18)</f>
        <v>230600</v>
      </c>
      <c r="AC18" s="23">
        <f>O18+AB18</f>
        <v>230600</v>
      </c>
    </row>
    <row r="19" spans="1:29" s="3" customFormat="1" ht="12.75">
      <c r="A19" s="25"/>
      <c r="B19" s="39" t="s">
        <v>10</v>
      </c>
      <c r="C19" s="121" t="s">
        <v>138</v>
      </c>
      <c r="D19" s="17">
        <f>SUM(D15:D16)</f>
        <v>1448219.45472384</v>
      </c>
      <c r="E19" s="17">
        <f aca="true" t="shared" si="0" ref="E19:AC19">SUM(E15:E18)</f>
        <v>1448219.45472384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1448219.45472384</v>
      </c>
      <c r="P19" s="17">
        <f t="shared" si="0"/>
        <v>43200</v>
      </c>
      <c r="Q19" s="17">
        <f t="shared" si="0"/>
        <v>100000</v>
      </c>
      <c r="R19" s="17">
        <f t="shared" si="0"/>
        <v>172000</v>
      </c>
      <c r="S19" s="17">
        <f t="shared" si="0"/>
        <v>48000</v>
      </c>
      <c r="T19" s="17">
        <f t="shared" si="0"/>
        <v>46000</v>
      </c>
      <c r="U19" s="17">
        <f t="shared" si="0"/>
        <v>80000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489200</v>
      </c>
      <c r="AC19" s="17">
        <f t="shared" si="0"/>
        <v>1937419.45472384</v>
      </c>
    </row>
    <row r="20" spans="1:29" s="3" customFormat="1" ht="12.75">
      <c r="A20" s="59"/>
      <c r="B20" s="60" t="s">
        <v>11</v>
      </c>
      <c r="C20" s="122" t="s">
        <v>108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2"/>
    </row>
    <row r="21" spans="1:29" s="3" customFormat="1" ht="12.75">
      <c r="A21" s="54"/>
      <c r="B21" s="55"/>
      <c r="C21" s="119" t="s">
        <v>114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7"/>
    </row>
    <row r="22" spans="1:29" s="3" customFormat="1" ht="25.5">
      <c r="A22" s="25"/>
      <c r="B22" s="26" t="s">
        <v>12</v>
      </c>
      <c r="C22" s="120" t="str">
        <f>'detailed GEF budget BIS'!C20</f>
        <v>Consultancy Contract with the members of the Task Force</v>
      </c>
      <c r="D22" s="15">
        <f>'detailed GEF budget BIS'!G20</f>
        <v>77284.38</v>
      </c>
      <c r="E22" s="16">
        <f>D22</f>
        <v>77284.38</v>
      </c>
      <c r="F22" s="15"/>
      <c r="G22" s="15"/>
      <c r="H22" s="15"/>
      <c r="I22" s="15"/>
      <c r="J22" s="15"/>
      <c r="K22" s="15"/>
      <c r="L22" s="15"/>
      <c r="M22" s="15"/>
      <c r="N22" s="15"/>
      <c r="O22" s="23">
        <f>SUM(E22:N22)</f>
        <v>77284.38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3">
        <f>SUM(P22:AA22)</f>
        <v>0</v>
      </c>
      <c r="AC22" s="23">
        <f>O22+AB22</f>
        <v>77284.38</v>
      </c>
    </row>
    <row r="23" spans="1:29" s="3" customFormat="1" ht="12.75">
      <c r="A23" s="25"/>
      <c r="B23" s="26" t="s">
        <v>13</v>
      </c>
      <c r="C23" s="120" t="str">
        <f>'detailed GEF budget BIS'!C21</f>
        <v>Consultants for Result 1</v>
      </c>
      <c r="D23" s="15">
        <f>'detailed GEF budget BIS'!G21</f>
        <v>146961.86</v>
      </c>
      <c r="E23" s="16">
        <f>D23</f>
        <v>146961.86</v>
      </c>
      <c r="F23" s="15">
        <f>COUNTRIES!B106</f>
        <v>0</v>
      </c>
      <c r="G23" s="15">
        <f>COUNTRIES!C106</f>
        <v>0</v>
      </c>
      <c r="H23" s="15">
        <f>COUNTRIES!D106</f>
        <v>0</v>
      </c>
      <c r="I23" s="15">
        <f>COUNTRIES!E106</f>
        <v>80000</v>
      </c>
      <c r="J23" s="15">
        <f>COUNTRIES!F106</f>
        <v>20000</v>
      </c>
      <c r="K23" s="15">
        <f>COUNTRIES!G106</f>
        <v>0</v>
      </c>
      <c r="L23" s="15"/>
      <c r="M23" s="15"/>
      <c r="N23" s="15"/>
      <c r="O23" s="23">
        <f>SUM(E23:N23)</f>
        <v>246961.86</v>
      </c>
      <c r="P23" s="15">
        <f>COUNTRIES!J106</f>
        <v>0</v>
      </c>
      <c r="Q23" s="15">
        <f>COUNTRIES!K106</f>
        <v>0</v>
      </c>
      <c r="R23" s="15">
        <f>COUNTRIES!L106</f>
        <v>0</v>
      </c>
      <c r="S23" s="15">
        <f>COUNTRIES!M106</f>
        <v>20000</v>
      </c>
      <c r="T23" s="15">
        <f>COUNTRIES!N106</f>
        <v>0</v>
      </c>
      <c r="U23" s="15">
        <f>COUNTRIES!O106</f>
        <v>80000</v>
      </c>
      <c r="V23" s="15"/>
      <c r="W23" s="15"/>
      <c r="X23" s="15"/>
      <c r="Y23" s="15"/>
      <c r="Z23" s="15"/>
      <c r="AA23" s="15"/>
      <c r="AB23" s="23">
        <f>SUM(P23:AA23)</f>
        <v>100000</v>
      </c>
      <c r="AC23" s="23">
        <f>O23+AB23</f>
        <v>346961.86</v>
      </c>
    </row>
    <row r="24" spans="1:29" s="3" customFormat="1" ht="12.75">
      <c r="A24" s="25"/>
      <c r="B24" s="26" t="s">
        <v>14</v>
      </c>
      <c r="C24" s="120" t="str">
        <f>'detailed GEF budget BIS'!C22</f>
        <v>Consultants for Result 2</v>
      </c>
      <c r="D24" s="15">
        <f>'detailed GEF budget BIS'!G22</f>
        <v>280000</v>
      </c>
      <c r="E24" s="16">
        <f>D24</f>
        <v>280000</v>
      </c>
      <c r="F24" s="15">
        <f>SUM(COUNTRIES!B107:B109)</f>
        <v>35572.5</v>
      </c>
      <c r="G24" s="15">
        <f>SUM(COUNTRIES!C107:C109)</f>
        <v>0</v>
      </c>
      <c r="H24" s="15">
        <f>SUM(COUNTRIES!D107:D109)</f>
        <v>60000</v>
      </c>
      <c r="I24" s="15">
        <f>SUM(COUNTRIES!E107:E109)</f>
        <v>0</v>
      </c>
      <c r="J24" s="15">
        <f>SUM(COUNTRIES!F107:F109)</f>
        <v>35572.5</v>
      </c>
      <c r="K24" s="15">
        <f>SUM(COUNTRIES!G107:G109)</f>
        <v>0</v>
      </c>
      <c r="L24" s="173">
        <v>10000</v>
      </c>
      <c r="M24" s="15"/>
      <c r="N24" s="15"/>
      <c r="O24" s="23">
        <f>SUM(E24:N24)</f>
        <v>421145</v>
      </c>
      <c r="P24" s="15">
        <f>SUM(COUNTRIES!J107:J109)</f>
        <v>31135</v>
      </c>
      <c r="Q24" s="15">
        <f>SUM(COUNTRIES!K107:K109)</f>
        <v>0</v>
      </c>
      <c r="R24" s="15">
        <f>SUM(COUNTRIES!L107:L109)</f>
        <v>0</v>
      </c>
      <c r="S24" s="15">
        <f>SUM(COUNTRIES!M107:M109)</f>
        <v>30000</v>
      </c>
      <c r="T24" s="15">
        <f>SUM(COUNTRIES!N107:N109)</f>
        <v>0</v>
      </c>
      <c r="U24" s="15">
        <f>SUM(COUNTRIES!O107:O109)</f>
        <v>130000</v>
      </c>
      <c r="V24" s="15"/>
      <c r="W24" s="15"/>
      <c r="X24" s="15"/>
      <c r="Y24" s="15"/>
      <c r="Z24" s="15"/>
      <c r="AA24" s="15"/>
      <c r="AB24" s="23">
        <f>SUM(P24:AA24)</f>
        <v>191135</v>
      </c>
      <c r="AC24" s="23">
        <f>O24+AB24</f>
        <v>612280</v>
      </c>
    </row>
    <row r="25" spans="1:29" s="3" customFormat="1" ht="12.75">
      <c r="A25" s="25"/>
      <c r="B25" s="26" t="s">
        <v>153</v>
      </c>
      <c r="C25" s="120" t="str">
        <f>'detailed GEF budget BIS'!C23</f>
        <v>Consultants for Result 3</v>
      </c>
      <c r="D25" s="15">
        <f>'detailed GEF budget BIS'!G23</f>
        <v>49397.020000000004</v>
      </c>
      <c r="E25" s="16">
        <f>D25</f>
        <v>49397.020000000004</v>
      </c>
      <c r="F25" s="15">
        <f>COUNTRIES!B110</f>
        <v>19050</v>
      </c>
      <c r="G25" s="15">
        <f>COUNTRIES!C110</f>
        <v>0</v>
      </c>
      <c r="H25" s="15">
        <f>COUNTRIES!D110</f>
        <v>66000</v>
      </c>
      <c r="I25" s="15">
        <f>COUNTRIES!E110</f>
        <v>44000</v>
      </c>
      <c r="J25" s="15">
        <f>COUNTRIES!F110</f>
        <v>0</v>
      </c>
      <c r="K25" s="15">
        <f>COUNTRIES!G110</f>
        <v>44450</v>
      </c>
      <c r="L25" s="15"/>
      <c r="M25" s="15"/>
      <c r="N25" s="15"/>
      <c r="O25" s="23">
        <f>SUM(E25:N25)</f>
        <v>222897.02000000002</v>
      </c>
      <c r="P25" s="15">
        <f>COUNTRIES!J110</f>
        <v>38640</v>
      </c>
      <c r="Q25" s="15">
        <f>COUNTRIES!K110</f>
        <v>0</v>
      </c>
      <c r="R25" s="15">
        <f>COUNTRIES!L110</f>
        <v>62820</v>
      </c>
      <c r="S25" s="15">
        <f>COUNTRIES!M110</f>
        <v>41880</v>
      </c>
      <c r="T25" s="15">
        <f>COUNTRIES!N110</f>
        <v>0</v>
      </c>
      <c r="U25" s="15">
        <f>COUNTRIES!O110</f>
        <v>70000</v>
      </c>
      <c r="V25" s="15"/>
      <c r="W25" s="15"/>
      <c r="X25" s="15"/>
      <c r="Y25" s="15"/>
      <c r="Z25" s="15"/>
      <c r="AA25" s="15"/>
      <c r="AB25" s="23">
        <f>SUM(P25:AA25)</f>
        <v>213340</v>
      </c>
      <c r="AC25" s="23">
        <f>O25+AB25</f>
        <v>436237.02</v>
      </c>
    </row>
    <row r="26" spans="1:29" s="3" customFormat="1" ht="12.75">
      <c r="A26" s="25"/>
      <c r="B26" s="39" t="s">
        <v>15</v>
      </c>
      <c r="C26" s="121" t="s">
        <v>138</v>
      </c>
      <c r="D26" s="17">
        <f aca="true" t="shared" si="1" ref="D26:AC26">SUM(D22:D25)</f>
        <v>553643.26</v>
      </c>
      <c r="E26" s="17">
        <f t="shared" si="1"/>
        <v>553643.26</v>
      </c>
      <c r="F26" s="17">
        <f t="shared" si="1"/>
        <v>54622.5</v>
      </c>
      <c r="G26" s="17">
        <f t="shared" si="1"/>
        <v>0</v>
      </c>
      <c r="H26" s="17">
        <f t="shared" si="1"/>
        <v>126000</v>
      </c>
      <c r="I26" s="17">
        <f t="shared" si="1"/>
        <v>124000</v>
      </c>
      <c r="J26" s="17">
        <f t="shared" si="1"/>
        <v>55572.5</v>
      </c>
      <c r="K26" s="17">
        <f t="shared" si="1"/>
        <v>44450</v>
      </c>
      <c r="L26" s="17">
        <f t="shared" si="1"/>
        <v>10000</v>
      </c>
      <c r="M26" s="17">
        <f t="shared" si="1"/>
        <v>0</v>
      </c>
      <c r="N26" s="17">
        <f t="shared" si="1"/>
        <v>0</v>
      </c>
      <c r="O26" s="17">
        <f t="shared" si="1"/>
        <v>968288.26</v>
      </c>
      <c r="P26" s="17">
        <f t="shared" si="1"/>
        <v>69775</v>
      </c>
      <c r="Q26" s="17">
        <f t="shared" si="1"/>
        <v>0</v>
      </c>
      <c r="R26" s="17">
        <f t="shared" si="1"/>
        <v>62820</v>
      </c>
      <c r="S26" s="17">
        <f t="shared" si="1"/>
        <v>91880</v>
      </c>
      <c r="T26" s="17">
        <f t="shared" si="1"/>
        <v>0</v>
      </c>
      <c r="U26" s="17">
        <f t="shared" si="1"/>
        <v>280000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504475</v>
      </c>
      <c r="AC26" s="17">
        <f t="shared" si="1"/>
        <v>1472763.26</v>
      </c>
    </row>
    <row r="27" spans="1:29" s="3" customFormat="1" ht="12.75">
      <c r="A27" s="59"/>
      <c r="B27" s="66" t="s">
        <v>16</v>
      </c>
      <c r="C27" s="123" t="s">
        <v>95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62"/>
    </row>
    <row r="28" spans="1:29" s="3" customFormat="1" ht="12.75">
      <c r="A28" s="54"/>
      <c r="B28" s="67"/>
      <c r="C28" s="119" t="s">
        <v>113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</row>
    <row r="29" spans="1:29" s="3" customFormat="1" ht="12.75">
      <c r="A29" s="25"/>
      <c r="B29" s="39" t="s">
        <v>17</v>
      </c>
      <c r="C29" s="124" t="str">
        <f>'detailed GEF budget BIS'!C27</f>
        <v>Admin. Ass. 44 (w/m)</v>
      </c>
      <c r="D29" s="16">
        <f>'detailed GEF budget BIS'!G27</f>
        <v>52166.27439296</v>
      </c>
      <c r="E29" s="16">
        <f>D29</f>
        <v>52166.27439296</v>
      </c>
      <c r="F29" s="16"/>
      <c r="G29" s="16"/>
      <c r="H29" s="16"/>
      <c r="I29" s="16"/>
      <c r="J29" s="16"/>
      <c r="K29" s="16"/>
      <c r="L29" s="16"/>
      <c r="M29" s="16"/>
      <c r="N29" s="16"/>
      <c r="O29" s="23">
        <f>SUM(E29:N29)</f>
        <v>52166.27439296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3">
        <f>SUM(P29:AA29)</f>
        <v>0</v>
      </c>
      <c r="AC29" s="23">
        <f>O29+AB29</f>
        <v>52166.27439296</v>
      </c>
    </row>
    <row r="30" spans="1:29" s="3" customFormat="1" ht="12.75">
      <c r="A30" s="25"/>
      <c r="B30" s="39" t="s">
        <v>18</v>
      </c>
      <c r="C30" s="124" t="str">
        <f>'detailed GEF budget BIS'!C28</f>
        <v>Secretary Salary 44 (w/m)</v>
      </c>
      <c r="D30" s="16">
        <f>'detailed GEF budget BIS'!G28</f>
        <v>48134.38280256</v>
      </c>
      <c r="E30" s="16">
        <f>D30</f>
        <v>48134.38280256</v>
      </c>
      <c r="F30" s="16"/>
      <c r="G30" s="16"/>
      <c r="H30" s="16"/>
      <c r="I30" s="16"/>
      <c r="J30" s="16"/>
      <c r="K30" s="16"/>
      <c r="L30" s="16"/>
      <c r="M30" s="16"/>
      <c r="N30" s="16"/>
      <c r="O30" s="2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3"/>
      <c r="AC30" s="23"/>
    </row>
    <row r="31" spans="1:29" s="3" customFormat="1" ht="25.5">
      <c r="A31" s="25"/>
      <c r="B31" s="39" t="s">
        <v>19</v>
      </c>
      <c r="C31" s="124" t="s">
        <v>387</v>
      </c>
      <c r="D31" s="16"/>
      <c r="E31" s="16"/>
      <c r="F31" s="16">
        <f>COUNTRIES!B112</f>
        <v>0</v>
      </c>
      <c r="G31" s="16">
        <f>COUNTRIES!C112</f>
        <v>0</v>
      </c>
      <c r="H31" s="16">
        <f>COUNTRIES!D112</f>
        <v>0</v>
      </c>
      <c r="I31" s="16">
        <f>COUNTRIES!E112</f>
        <v>0</v>
      </c>
      <c r="J31" s="16">
        <f>COUNTRIES!F112</f>
        <v>0</v>
      </c>
      <c r="K31" s="16">
        <f>COUNTRIES!G112</f>
        <v>0</v>
      </c>
      <c r="L31" s="16"/>
      <c r="M31" s="16"/>
      <c r="N31" s="16"/>
      <c r="O31" s="23">
        <f>SUM(E31:N31)</f>
        <v>0</v>
      </c>
      <c r="P31" s="16">
        <f>COUNTRIES!J112</f>
        <v>7200</v>
      </c>
      <c r="Q31" s="16">
        <f>COUNTRIES!K112</f>
        <v>0</v>
      </c>
      <c r="R31" s="16">
        <f>COUNTRIES!L112</f>
        <v>0</v>
      </c>
      <c r="S31" s="16">
        <f>COUNTRIES!M112</f>
        <v>32160</v>
      </c>
      <c r="T31" s="16">
        <f>COUNTRIES!N112</f>
        <v>0</v>
      </c>
      <c r="U31" s="16">
        <f>COUNTRIES!O112</f>
        <v>15000</v>
      </c>
      <c r="V31" s="16"/>
      <c r="W31" s="16"/>
      <c r="X31" s="16"/>
      <c r="Y31" s="16"/>
      <c r="Z31" s="16"/>
      <c r="AA31" s="16"/>
      <c r="AB31" s="23">
        <f>SUM(P31:AA31)</f>
        <v>54360</v>
      </c>
      <c r="AC31" s="23">
        <f>O31+AB31</f>
        <v>54360</v>
      </c>
    </row>
    <row r="32" spans="1:29" s="3" customFormat="1" ht="12.75">
      <c r="A32" s="25"/>
      <c r="B32" s="39" t="s">
        <v>20</v>
      </c>
      <c r="C32" s="121" t="s">
        <v>138</v>
      </c>
      <c r="D32" s="17">
        <f>SUM(D29:D30)</f>
        <v>100300.65719552</v>
      </c>
      <c r="E32" s="17">
        <f aca="true" t="shared" si="2" ref="E32:AC32">SUM(E29:E31)</f>
        <v>100300.65719552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52166.27439296</v>
      </c>
      <c r="P32" s="17">
        <f t="shared" si="2"/>
        <v>7200</v>
      </c>
      <c r="Q32" s="17">
        <f t="shared" si="2"/>
        <v>0</v>
      </c>
      <c r="R32" s="17">
        <f t="shared" si="2"/>
        <v>0</v>
      </c>
      <c r="S32" s="17">
        <f t="shared" si="2"/>
        <v>32160</v>
      </c>
      <c r="T32" s="17">
        <f t="shared" si="2"/>
        <v>0</v>
      </c>
      <c r="U32" s="17">
        <f t="shared" si="2"/>
        <v>15000</v>
      </c>
      <c r="V32" s="17">
        <f t="shared" si="2"/>
        <v>0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0</v>
      </c>
      <c r="AB32" s="17">
        <f t="shared" si="2"/>
        <v>54360</v>
      </c>
      <c r="AC32" s="17">
        <f t="shared" si="2"/>
        <v>106526.27439296</v>
      </c>
    </row>
    <row r="33" spans="1:29" s="3" customFormat="1" ht="12.75">
      <c r="A33" s="25"/>
      <c r="B33" s="40" t="s">
        <v>21</v>
      </c>
      <c r="C33" s="125" t="s">
        <v>110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34"/>
      <c r="AC33" s="34"/>
    </row>
    <row r="34" spans="1:29" s="3" customFormat="1" ht="12.75">
      <c r="A34" s="25"/>
      <c r="B34" s="39" t="s">
        <v>22</v>
      </c>
      <c r="C34" s="1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>
        <f>SUM(E34:N34)</f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3">
        <f>SUM(P34:AA34)</f>
        <v>0</v>
      </c>
      <c r="AC34" s="23">
        <f>O34+AB34</f>
        <v>0</v>
      </c>
    </row>
    <row r="35" spans="1:29" s="3" customFormat="1" ht="12.75">
      <c r="A35" s="25"/>
      <c r="B35" s="39" t="s">
        <v>23</v>
      </c>
      <c r="C35" s="1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>
        <f>SUM(E35:N35)</f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3">
        <f>SUM(P35:AA35)</f>
        <v>0</v>
      </c>
      <c r="AC35" s="23">
        <f>O35+AB35</f>
        <v>0</v>
      </c>
    </row>
    <row r="36" spans="1:29" s="3" customFormat="1" ht="12.75">
      <c r="A36" s="25"/>
      <c r="B36" s="39" t="s">
        <v>111</v>
      </c>
      <c r="C36" s="12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3">
        <f>SUM(E36:N36)</f>
        <v>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3">
        <f>SUM(P36:AA36)</f>
        <v>0</v>
      </c>
      <c r="AC36" s="23">
        <f>O36+AB36</f>
        <v>0</v>
      </c>
    </row>
    <row r="37" spans="1:29" s="3" customFormat="1" ht="12.75">
      <c r="A37" s="25"/>
      <c r="B37" s="39" t="s">
        <v>24</v>
      </c>
      <c r="C37" s="121" t="s">
        <v>138</v>
      </c>
      <c r="D37" s="17">
        <f>SUM(D34:D36)</f>
        <v>0</v>
      </c>
      <c r="E37" s="17">
        <f>SUM(E34:E36)</f>
        <v>0</v>
      </c>
      <c r="F37" s="17">
        <f>SUM(F34:F36)</f>
        <v>0</v>
      </c>
      <c r="G37" s="17"/>
      <c r="H37" s="17"/>
      <c r="I37" s="17"/>
      <c r="J37" s="17"/>
      <c r="K37" s="17"/>
      <c r="L37" s="17">
        <f aca="true" t="shared" si="3" ref="L37:AC37">SUM(L34:L36)</f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17">
        <f t="shared" si="3"/>
        <v>0</v>
      </c>
      <c r="V37" s="17">
        <f t="shared" si="3"/>
        <v>0</v>
      </c>
      <c r="W37" s="17">
        <f t="shared" si="3"/>
        <v>0</v>
      </c>
      <c r="X37" s="17">
        <f t="shared" si="3"/>
        <v>0</v>
      </c>
      <c r="Y37" s="17">
        <f t="shared" si="3"/>
        <v>0</v>
      </c>
      <c r="Z37" s="17">
        <f t="shared" si="3"/>
        <v>0</v>
      </c>
      <c r="AA37" s="17">
        <f t="shared" si="3"/>
        <v>0</v>
      </c>
      <c r="AB37" s="17">
        <f t="shared" si="3"/>
        <v>0</v>
      </c>
      <c r="AC37" s="23">
        <f t="shared" si="3"/>
        <v>0</v>
      </c>
    </row>
    <row r="38" spans="1:29" s="3" customFormat="1" ht="12.75">
      <c r="A38" s="25"/>
      <c r="B38" s="40" t="s">
        <v>25</v>
      </c>
      <c r="C38" s="125" t="s">
        <v>91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/>
      <c r="AC38" s="34"/>
    </row>
    <row r="39" spans="1:29" s="3" customFormat="1" ht="12.75">
      <c r="A39" s="25"/>
      <c r="B39" s="39" t="s">
        <v>26</v>
      </c>
      <c r="C39" s="124" t="str">
        <f>'detailed GEF budget BIS'!C36</f>
        <v>Travel of PMU for Result R1</v>
      </c>
      <c r="D39" s="15">
        <f>'detailed GEF budget BIS'!G36</f>
        <v>60898</v>
      </c>
      <c r="E39" s="16">
        <f>D39</f>
        <v>60898</v>
      </c>
      <c r="F39" s="15"/>
      <c r="G39" s="15"/>
      <c r="H39" s="15"/>
      <c r="I39" s="15"/>
      <c r="J39" s="15"/>
      <c r="K39" s="15"/>
      <c r="L39" s="15"/>
      <c r="M39" s="15"/>
      <c r="N39" s="15"/>
      <c r="O39" s="23">
        <f>SUM(E39:N39)</f>
        <v>60898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23">
        <f>SUM(P39:AA39)</f>
        <v>0</v>
      </c>
      <c r="AC39" s="23">
        <f>O39+AB39</f>
        <v>60898</v>
      </c>
    </row>
    <row r="40" spans="1:29" s="3" customFormat="1" ht="12.75">
      <c r="A40" s="25"/>
      <c r="B40" s="39" t="s">
        <v>27</v>
      </c>
      <c r="C40" s="124" t="str">
        <f>'detailed GEF budget BIS'!C37</f>
        <v>Travel of PMU for Result R2</v>
      </c>
      <c r="D40" s="15">
        <f>'detailed GEF budget BIS'!G37</f>
        <v>78000</v>
      </c>
      <c r="E40" s="16">
        <f>D40</f>
        <v>78000</v>
      </c>
      <c r="F40" s="15"/>
      <c r="G40" s="15"/>
      <c r="H40" s="15"/>
      <c r="I40" s="15"/>
      <c r="J40" s="15"/>
      <c r="K40" s="15"/>
      <c r="L40" s="15"/>
      <c r="M40" s="15"/>
      <c r="N40" s="15"/>
      <c r="O40" s="23">
        <f>SUM(E40:N40)</f>
        <v>78000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3">
        <f>SUM(P40:AA40)</f>
        <v>0</v>
      </c>
      <c r="AC40" s="23">
        <f>O40+AB40</f>
        <v>78000</v>
      </c>
    </row>
    <row r="41" spans="1:29" s="3" customFormat="1" ht="12.75">
      <c r="A41" s="25"/>
      <c r="B41" s="39" t="s">
        <v>112</v>
      </c>
      <c r="C41" s="124" t="str">
        <f>'detailed GEF budget BIS'!C38</f>
        <v>Travel of PMU for Result R3</v>
      </c>
      <c r="D41" s="15">
        <f>'detailed GEF budget BIS'!G38</f>
        <v>48000</v>
      </c>
      <c r="E41" s="16">
        <f>D41</f>
        <v>48000</v>
      </c>
      <c r="F41" s="15"/>
      <c r="G41" s="15"/>
      <c r="H41" s="15"/>
      <c r="I41" s="15"/>
      <c r="J41" s="15"/>
      <c r="K41" s="15"/>
      <c r="L41" s="15"/>
      <c r="M41" s="15"/>
      <c r="N41" s="15"/>
      <c r="O41" s="23">
        <f>SUM(E41:N41)</f>
        <v>48000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3">
        <f>SUM(P41:AA41)</f>
        <v>0</v>
      </c>
      <c r="AC41" s="23">
        <f>O41+AB41</f>
        <v>48000</v>
      </c>
    </row>
    <row r="42" spans="1:29" s="3" customFormat="1" ht="25.5">
      <c r="A42" s="25"/>
      <c r="B42" s="39" t="s">
        <v>166</v>
      </c>
      <c r="C42" s="124" t="str">
        <f>'detailed GEF budget BIS'!C39</f>
        <v>Participation to International and regional forum</v>
      </c>
      <c r="D42" s="15">
        <f>'detailed GEF budget BIS'!G39</f>
        <v>80000</v>
      </c>
      <c r="E42" s="16">
        <f>D42</f>
        <v>80000</v>
      </c>
      <c r="F42" s="15"/>
      <c r="G42" s="15"/>
      <c r="H42" s="15"/>
      <c r="I42" s="15"/>
      <c r="J42" s="15"/>
      <c r="K42" s="15"/>
      <c r="L42" s="15"/>
      <c r="M42" s="15"/>
      <c r="N42" s="15"/>
      <c r="O42" s="23">
        <f>SUM(E42:N42)</f>
        <v>80000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3">
        <f>SUM(P42:AA42)</f>
        <v>0</v>
      </c>
      <c r="AC42" s="23">
        <f>O42+AB42</f>
        <v>80000</v>
      </c>
    </row>
    <row r="43" spans="1:29" s="3" customFormat="1" ht="12.75">
      <c r="A43" s="25"/>
      <c r="B43" s="39" t="s">
        <v>175</v>
      </c>
      <c r="C43" s="124" t="s">
        <v>427</v>
      </c>
      <c r="D43" s="15"/>
      <c r="E43" s="16"/>
      <c r="F43" s="15">
        <f>COUNTRIES!B114</f>
        <v>0</v>
      </c>
      <c r="G43" s="15">
        <f>COUNTRIES!C114</f>
        <v>20000</v>
      </c>
      <c r="H43" s="15">
        <f>COUNTRIES!D114</f>
        <v>0</v>
      </c>
      <c r="I43" s="15">
        <f>COUNTRIES!E114</f>
        <v>0</v>
      </c>
      <c r="J43" s="15">
        <f>COUNTRIES!F114</f>
        <v>0</v>
      </c>
      <c r="K43" s="15">
        <f>COUNTRIES!G114</f>
        <v>0</v>
      </c>
      <c r="L43" s="15"/>
      <c r="M43" s="15"/>
      <c r="N43" s="15"/>
      <c r="O43" s="23">
        <f>SUM(E43:N43)</f>
        <v>20000</v>
      </c>
      <c r="P43" s="15">
        <f>COUNTRIES!J114</f>
        <v>16500</v>
      </c>
      <c r="Q43" s="15">
        <f>COUNTRIES!K114</f>
        <v>0</v>
      </c>
      <c r="R43" s="15">
        <f>COUNTRIES!L114</f>
        <v>0</v>
      </c>
      <c r="S43" s="15">
        <f>COUNTRIES!M114</f>
        <v>17000</v>
      </c>
      <c r="T43" s="15">
        <f>COUNTRIES!N114</f>
        <v>0</v>
      </c>
      <c r="U43" s="15">
        <f>COUNTRIES!O114</f>
        <v>40000</v>
      </c>
      <c r="V43" s="15"/>
      <c r="W43" s="15"/>
      <c r="X43" s="15"/>
      <c r="Y43" s="15"/>
      <c r="Z43" s="15"/>
      <c r="AA43" s="15"/>
      <c r="AB43" s="23">
        <f>SUM(P43:AA43)</f>
        <v>73500</v>
      </c>
      <c r="AC43" s="23">
        <f>O43+AB43</f>
        <v>93500</v>
      </c>
    </row>
    <row r="44" spans="1:29" s="3" customFormat="1" ht="12.75">
      <c r="A44" s="25"/>
      <c r="B44" s="39" t="s">
        <v>28</v>
      </c>
      <c r="C44" s="121" t="s">
        <v>138</v>
      </c>
      <c r="D44" s="17">
        <f>SUM(D39:D42)</f>
        <v>266898</v>
      </c>
      <c r="E44" s="17">
        <f>SUM(E39:E43)</f>
        <v>266898</v>
      </c>
      <c r="F44" s="17">
        <f aca="true" t="shared" si="4" ref="F44:P44">SUM(F39:F43)</f>
        <v>0</v>
      </c>
      <c r="G44" s="17">
        <f>SUM(G39:G43)</f>
        <v>20000</v>
      </c>
      <c r="H44" s="17">
        <f>SUM(H39:H43)</f>
        <v>0</v>
      </c>
      <c r="I44" s="17">
        <f>SUM(I39:I43)</f>
        <v>0</v>
      </c>
      <c r="J44" s="17">
        <f>SUM(J39:J43)</f>
        <v>0</v>
      </c>
      <c r="K44" s="17">
        <f>SUM(K39:K43)</f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286898</v>
      </c>
      <c r="P44" s="17">
        <f t="shared" si="4"/>
        <v>16500</v>
      </c>
      <c r="Q44" s="17">
        <f>SUM(Q39:Q43)</f>
        <v>0</v>
      </c>
      <c r="R44" s="17">
        <f>SUM(R39:R43)</f>
        <v>0</v>
      </c>
      <c r="S44" s="17">
        <f>SUM(S39:S43)</f>
        <v>17000</v>
      </c>
      <c r="T44" s="17">
        <f>SUM(T39:T43)</f>
        <v>0</v>
      </c>
      <c r="U44" s="17">
        <f>SUM(U39:U43)</f>
        <v>40000</v>
      </c>
      <c r="V44" s="17">
        <f aca="true" t="shared" si="5" ref="V44:AC44">SUM(V39:V43)</f>
        <v>0</v>
      </c>
      <c r="W44" s="17">
        <f t="shared" si="5"/>
        <v>0</v>
      </c>
      <c r="X44" s="17">
        <f t="shared" si="5"/>
        <v>0</v>
      </c>
      <c r="Y44" s="17">
        <f t="shared" si="5"/>
        <v>0</v>
      </c>
      <c r="Z44" s="17">
        <f t="shared" si="5"/>
        <v>0</v>
      </c>
      <c r="AA44" s="17">
        <f t="shared" si="5"/>
        <v>0</v>
      </c>
      <c r="AB44" s="17">
        <f t="shared" si="5"/>
        <v>73500</v>
      </c>
      <c r="AC44" s="23">
        <f t="shared" si="5"/>
        <v>360398</v>
      </c>
    </row>
    <row r="45" spans="1:29" s="3" customFormat="1" ht="12.75">
      <c r="A45" s="35"/>
      <c r="B45" s="36">
        <v>1999</v>
      </c>
      <c r="C45" s="126" t="s">
        <v>29</v>
      </c>
      <c r="D45" s="17">
        <f aca="true" t="shared" si="6" ref="D45:AC45">+D19+D26+D32+D37+D44</f>
        <v>2369061.37191936</v>
      </c>
      <c r="E45" s="17">
        <f t="shared" si="6"/>
        <v>2369061.37191936</v>
      </c>
      <c r="F45" s="17">
        <f t="shared" si="6"/>
        <v>54622.5</v>
      </c>
      <c r="G45" s="17">
        <f t="shared" si="6"/>
        <v>20000</v>
      </c>
      <c r="H45" s="17">
        <f t="shared" si="6"/>
        <v>126000</v>
      </c>
      <c r="I45" s="17">
        <f t="shared" si="6"/>
        <v>124000</v>
      </c>
      <c r="J45" s="17">
        <f t="shared" si="6"/>
        <v>55572.5</v>
      </c>
      <c r="K45" s="17">
        <f t="shared" si="6"/>
        <v>44450</v>
      </c>
      <c r="L45" s="17">
        <f t="shared" si="6"/>
        <v>10000</v>
      </c>
      <c r="M45" s="17">
        <f t="shared" si="6"/>
        <v>0</v>
      </c>
      <c r="N45" s="17">
        <f t="shared" si="6"/>
        <v>0</v>
      </c>
      <c r="O45" s="17">
        <f t="shared" si="6"/>
        <v>2755571.9891168005</v>
      </c>
      <c r="P45" s="17">
        <f t="shared" si="6"/>
        <v>136675</v>
      </c>
      <c r="Q45" s="17">
        <f t="shared" si="6"/>
        <v>100000</v>
      </c>
      <c r="R45" s="17">
        <f t="shared" si="6"/>
        <v>234820</v>
      </c>
      <c r="S45" s="17">
        <f t="shared" si="6"/>
        <v>189040</v>
      </c>
      <c r="T45" s="17">
        <f t="shared" si="6"/>
        <v>46000</v>
      </c>
      <c r="U45" s="17">
        <f t="shared" si="6"/>
        <v>415000</v>
      </c>
      <c r="V45" s="17">
        <f t="shared" si="6"/>
        <v>0</v>
      </c>
      <c r="W45" s="17">
        <f t="shared" si="6"/>
        <v>0</v>
      </c>
      <c r="X45" s="17">
        <f t="shared" si="6"/>
        <v>0</v>
      </c>
      <c r="Y45" s="17">
        <f t="shared" si="6"/>
        <v>0</v>
      </c>
      <c r="Z45" s="17">
        <f t="shared" si="6"/>
        <v>0</v>
      </c>
      <c r="AA45" s="17">
        <f t="shared" si="6"/>
        <v>0</v>
      </c>
      <c r="AB45" s="23">
        <f t="shared" si="6"/>
        <v>1121535</v>
      </c>
      <c r="AC45" s="23">
        <f t="shared" si="6"/>
        <v>3877106.9891168005</v>
      </c>
    </row>
    <row r="46" spans="1:29" s="3" customFormat="1" ht="12.75">
      <c r="A46" s="80">
        <v>20</v>
      </c>
      <c r="B46" s="74" t="s">
        <v>104</v>
      </c>
      <c r="C46" s="12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7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</row>
    <row r="47" spans="1:29" s="3" customFormat="1" ht="12.75">
      <c r="A47" s="22"/>
      <c r="B47" s="76" t="s">
        <v>30</v>
      </c>
      <c r="C47" s="118" t="s">
        <v>115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17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2"/>
    </row>
    <row r="48" spans="1:29" s="3" customFormat="1" ht="12.75">
      <c r="A48" s="54"/>
      <c r="B48" s="55"/>
      <c r="C48" s="119" t="s">
        <v>116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5"/>
      <c r="AC48" s="65"/>
    </row>
    <row r="49" spans="1:29" s="3" customFormat="1" ht="12.75">
      <c r="A49" s="25"/>
      <c r="B49" s="26" t="s">
        <v>31</v>
      </c>
      <c r="C49" s="1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23">
        <f>SUM(P49:AA49)</f>
        <v>0</v>
      </c>
      <c r="AC49" s="23">
        <f>O49+AB49</f>
        <v>0</v>
      </c>
    </row>
    <row r="50" spans="1:29" s="3" customFormat="1" ht="12.75">
      <c r="A50" s="25"/>
      <c r="B50" s="39" t="s">
        <v>32</v>
      </c>
      <c r="C50" s="121" t="s">
        <v>138</v>
      </c>
      <c r="D50" s="17">
        <f aca="true" t="shared" si="7" ref="D50:AC50">SUM(D49:D49)</f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si="7"/>
        <v>0</v>
      </c>
      <c r="P50" s="17">
        <f t="shared" si="7"/>
        <v>0</v>
      </c>
      <c r="Q50" s="17">
        <f t="shared" si="7"/>
        <v>0</v>
      </c>
      <c r="R50" s="17">
        <f t="shared" si="7"/>
        <v>0</v>
      </c>
      <c r="S50" s="17">
        <f t="shared" si="7"/>
        <v>0</v>
      </c>
      <c r="T50" s="17">
        <f t="shared" si="7"/>
        <v>0</v>
      </c>
      <c r="U50" s="17">
        <f t="shared" si="7"/>
        <v>0</v>
      </c>
      <c r="V50" s="17">
        <f t="shared" si="7"/>
        <v>0</v>
      </c>
      <c r="W50" s="17">
        <f t="shared" si="7"/>
        <v>0</v>
      </c>
      <c r="X50" s="17">
        <f t="shared" si="7"/>
        <v>0</v>
      </c>
      <c r="Y50" s="17">
        <f t="shared" si="7"/>
        <v>0</v>
      </c>
      <c r="Z50" s="17">
        <f t="shared" si="7"/>
        <v>0</v>
      </c>
      <c r="AA50" s="17">
        <f t="shared" si="7"/>
        <v>0</v>
      </c>
      <c r="AB50" s="23">
        <f t="shared" si="7"/>
        <v>0</v>
      </c>
      <c r="AC50" s="23">
        <f t="shared" si="7"/>
        <v>0</v>
      </c>
    </row>
    <row r="51" spans="1:29" s="3" customFormat="1" ht="12.75">
      <c r="A51" s="59"/>
      <c r="B51" s="66" t="s">
        <v>33</v>
      </c>
      <c r="C51" s="122" t="s">
        <v>117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4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4"/>
      <c r="AC51" s="64"/>
    </row>
    <row r="52" spans="1:29" s="3" customFormat="1" ht="12.75">
      <c r="A52" s="54"/>
      <c r="B52" s="67"/>
      <c r="C52" s="128" t="s">
        <v>118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5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5"/>
      <c r="AC52" s="65"/>
    </row>
    <row r="53" spans="1:29" s="3" customFormat="1" ht="12.75">
      <c r="A53" s="25"/>
      <c r="B53" s="39" t="s">
        <v>34</v>
      </c>
      <c r="C53" s="124" t="str">
        <f>'detailed GEF budget BIS'!C49</f>
        <v>MOAs with Governments</v>
      </c>
      <c r="D53" s="16">
        <f>'detailed GEF budget BIS'!G49</f>
        <v>216486</v>
      </c>
      <c r="E53" s="16">
        <f>D53</f>
        <v>216486</v>
      </c>
      <c r="F53" s="16"/>
      <c r="G53" s="16"/>
      <c r="H53" s="16"/>
      <c r="I53" s="16"/>
      <c r="J53" s="16"/>
      <c r="K53" s="16"/>
      <c r="L53" s="16"/>
      <c r="M53" s="16"/>
      <c r="N53" s="16"/>
      <c r="O53" s="23">
        <f>SUM(E53:N53)</f>
        <v>216486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3">
        <f>SUM(P53:AA53)</f>
        <v>0</v>
      </c>
      <c r="AC53" s="23">
        <f>O53+AB53</f>
        <v>216486</v>
      </c>
    </row>
    <row r="54" spans="1:29" s="3" customFormat="1" ht="25.5">
      <c r="A54" s="25"/>
      <c r="B54" s="39" t="s">
        <v>35</v>
      </c>
      <c r="C54" s="124" t="str">
        <f>'detailed GEF budget BIS'!C50</f>
        <v>MOAs with other partners (including Demo UCC, LTHE/AMMA, etc.)</v>
      </c>
      <c r="D54" s="16">
        <f>'detailed GEF budget BIS'!G50</f>
        <v>734900</v>
      </c>
      <c r="E54" s="16">
        <f>D54</f>
        <v>734900</v>
      </c>
      <c r="F54" s="16"/>
      <c r="G54" s="16"/>
      <c r="H54" s="16"/>
      <c r="I54" s="16"/>
      <c r="J54" s="16"/>
      <c r="K54" s="16"/>
      <c r="L54" s="16"/>
      <c r="M54" s="16"/>
      <c r="N54" s="16"/>
      <c r="O54" s="23">
        <f>SUM(E54:N54)</f>
        <v>734900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23">
        <f>SUM(P54:AA54)</f>
        <v>0</v>
      </c>
      <c r="AC54" s="23">
        <f>O54+AB54</f>
        <v>734900</v>
      </c>
    </row>
    <row r="55" spans="1:29" s="3" customFormat="1" ht="12.75">
      <c r="A55" s="25"/>
      <c r="B55" s="39" t="s">
        <v>37</v>
      </c>
      <c r="C55" s="121" t="s">
        <v>138</v>
      </c>
      <c r="D55" s="17">
        <f aca="true" t="shared" si="8" ref="D55:AC55">SUM(D53:D54)</f>
        <v>951386</v>
      </c>
      <c r="E55" s="17">
        <f t="shared" si="8"/>
        <v>951386</v>
      </c>
      <c r="F55" s="17">
        <f t="shared" si="8"/>
        <v>0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0</v>
      </c>
      <c r="N55" s="17">
        <f t="shared" si="8"/>
        <v>0</v>
      </c>
      <c r="O55" s="23">
        <f t="shared" si="8"/>
        <v>951386</v>
      </c>
      <c r="P55" s="17">
        <f t="shared" si="8"/>
        <v>0</v>
      </c>
      <c r="Q55" s="17">
        <f t="shared" si="8"/>
        <v>0</v>
      </c>
      <c r="R55" s="17">
        <f t="shared" si="8"/>
        <v>0</v>
      </c>
      <c r="S55" s="17">
        <f t="shared" si="8"/>
        <v>0</v>
      </c>
      <c r="T55" s="17">
        <f t="shared" si="8"/>
        <v>0</v>
      </c>
      <c r="U55" s="17">
        <f t="shared" si="8"/>
        <v>0</v>
      </c>
      <c r="V55" s="17">
        <f t="shared" si="8"/>
        <v>0</v>
      </c>
      <c r="W55" s="17">
        <f t="shared" si="8"/>
        <v>0</v>
      </c>
      <c r="X55" s="17">
        <f t="shared" si="8"/>
        <v>0</v>
      </c>
      <c r="Y55" s="17">
        <f t="shared" si="8"/>
        <v>0</v>
      </c>
      <c r="Z55" s="17">
        <f t="shared" si="8"/>
        <v>0</v>
      </c>
      <c r="AA55" s="17">
        <f t="shared" si="8"/>
        <v>0</v>
      </c>
      <c r="AB55" s="23">
        <f t="shared" si="8"/>
        <v>0</v>
      </c>
      <c r="AC55" s="23">
        <f t="shared" si="8"/>
        <v>951386</v>
      </c>
    </row>
    <row r="56" spans="1:29" s="3" customFormat="1" ht="12.75">
      <c r="A56" s="25"/>
      <c r="B56" s="40" t="s">
        <v>38</v>
      </c>
      <c r="C56" s="125" t="s">
        <v>126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3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3"/>
      <c r="AC56" s="23"/>
    </row>
    <row r="57" spans="1:29" s="3" customFormat="1" ht="12.75">
      <c r="A57" s="25"/>
      <c r="B57" s="39" t="s">
        <v>39</v>
      </c>
      <c r="C57" s="12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3">
        <f>SUM(E57:N57)</f>
        <v>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3">
        <f>SUM(P57:AA57)</f>
        <v>0</v>
      </c>
      <c r="AC57" s="23">
        <f>O57+AB57</f>
        <v>0</v>
      </c>
    </row>
    <row r="58" spans="1:29" s="3" customFormat="1" ht="12.75">
      <c r="A58" s="25"/>
      <c r="B58" s="39" t="s">
        <v>40</v>
      </c>
      <c r="C58" s="12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3">
        <f>SUM(E58:N58)</f>
        <v>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3">
        <f>SUM(P58:AA58)</f>
        <v>0</v>
      </c>
      <c r="AC58" s="23">
        <f>O58+AB58</f>
        <v>0</v>
      </c>
    </row>
    <row r="59" spans="1:29" s="3" customFormat="1" ht="12.75">
      <c r="A59" s="25"/>
      <c r="B59" s="39" t="s">
        <v>41</v>
      </c>
      <c r="C59" s="12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3">
        <f>SUM(E59:N59)</f>
        <v>0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3">
        <f>SUM(P59:AA59)</f>
        <v>0</v>
      </c>
      <c r="AC59" s="23">
        <f>O59+AB59</f>
        <v>0</v>
      </c>
    </row>
    <row r="60" spans="1:29" s="3" customFormat="1" ht="12.75">
      <c r="A60" s="25"/>
      <c r="B60" s="39" t="s">
        <v>42</v>
      </c>
      <c r="C60" s="121" t="s">
        <v>138</v>
      </c>
      <c r="D60" s="17">
        <f aca="true" t="shared" si="9" ref="D60:AC60">SUM(D57:D59)</f>
        <v>0</v>
      </c>
      <c r="E60" s="17">
        <f t="shared" si="9"/>
        <v>0</v>
      </c>
      <c r="F60" s="17">
        <f t="shared" si="9"/>
        <v>0</v>
      </c>
      <c r="G60" s="17">
        <f t="shared" si="9"/>
        <v>0</v>
      </c>
      <c r="H60" s="17">
        <f t="shared" si="9"/>
        <v>0</v>
      </c>
      <c r="I60" s="17">
        <f t="shared" si="9"/>
        <v>0</v>
      </c>
      <c r="J60" s="17">
        <f t="shared" si="9"/>
        <v>0</v>
      </c>
      <c r="K60" s="17">
        <f t="shared" si="9"/>
        <v>0</v>
      </c>
      <c r="L60" s="17">
        <f t="shared" si="9"/>
        <v>0</v>
      </c>
      <c r="M60" s="17">
        <f t="shared" si="9"/>
        <v>0</v>
      </c>
      <c r="N60" s="17">
        <f t="shared" si="9"/>
        <v>0</v>
      </c>
      <c r="O60" s="17">
        <f t="shared" si="9"/>
        <v>0</v>
      </c>
      <c r="P60" s="17">
        <f t="shared" si="9"/>
        <v>0</v>
      </c>
      <c r="Q60" s="17">
        <f t="shared" si="9"/>
        <v>0</v>
      </c>
      <c r="R60" s="17">
        <f t="shared" si="9"/>
        <v>0</v>
      </c>
      <c r="S60" s="17">
        <f t="shared" si="9"/>
        <v>0</v>
      </c>
      <c r="T60" s="17">
        <f t="shared" si="9"/>
        <v>0</v>
      </c>
      <c r="U60" s="17">
        <f t="shared" si="9"/>
        <v>0</v>
      </c>
      <c r="V60" s="17">
        <f t="shared" si="9"/>
        <v>0</v>
      </c>
      <c r="W60" s="17">
        <f t="shared" si="9"/>
        <v>0</v>
      </c>
      <c r="X60" s="17">
        <f t="shared" si="9"/>
        <v>0</v>
      </c>
      <c r="Y60" s="17">
        <f t="shared" si="9"/>
        <v>0</v>
      </c>
      <c r="Z60" s="17">
        <f t="shared" si="9"/>
        <v>0</v>
      </c>
      <c r="AA60" s="17">
        <f t="shared" si="9"/>
        <v>0</v>
      </c>
      <c r="AB60" s="23">
        <f t="shared" si="9"/>
        <v>0</v>
      </c>
      <c r="AC60" s="23">
        <f t="shared" si="9"/>
        <v>0</v>
      </c>
    </row>
    <row r="61" spans="1:29" s="3" customFormat="1" ht="12.75">
      <c r="A61" s="35"/>
      <c r="B61" s="36">
        <v>2999</v>
      </c>
      <c r="C61" s="126" t="s">
        <v>29</v>
      </c>
      <c r="D61" s="17">
        <f aca="true" t="shared" si="10" ref="D61:AC61">+D50+D55+D60</f>
        <v>951386</v>
      </c>
      <c r="E61" s="17">
        <f t="shared" si="10"/>
        <v>951386</v>
      </c>
      <c r="F61" s="17">
        <f t="shared" si="10"/>
        <v>0</v>
      </c>
      <c r="G61" s="17">
        <f t="shared" si="10"/>
        <v>0</v>
      </c>
      <c r="H61" s="17">
        <f t="shared" si="10"/>
        <v>0</v>
      </c>
      <c r="I61" s="17">
        <f t="shared" si="10"/>
        <v>0</v>
      </c>
      <c r="J61" s="17">
        <f t="shared" si="10"/>
        <v>0</v>
      </c>
      <c r="K61" s="17">
        <f t="shared" si="10"/>
        <v>0</v>
      </c>
      <c r="L61" s="17">
        <f t="shared" si="10"/>
        <v>0</v>
      </c>
      <c r="M61" s="17">
        <f t="shared" si="10"/>
        <v>0</v>
      </c>
      <c r="N61" s="17">
        <f t="shared" si="10"/>
        <v>0</v>
      </c>
      <c r="O61" s="17">
        <f t="shared" si="10"/>
        <v>951386</v>
      </c>
      <c r="P61" s="17">
        <f t="shared" si="10"/>
        <v>0</v>
      </c>
      <c r="Q61" s="17">
        <f t="shared" si="10"/>
        <v>0</v>
      </c>
      <c r="R61" s="17">
        <f t="shared" si="10"/>
        <v>0</v>
      </c>
      <c r="S61" s="17">
        <f t="shared" si="10"/>
        <v>0</v>
      </c>
      <c r="T61" s="17">
        <f t="shared" si="10"/>
        <v>0</v>
      </c>
      <c r="U61" s="17">
        <f t="shared" si="10"/>
        <v>0</v>
      </c>
      <c r="V61" s="17">
        <f t="shared" si="10"/>
        <v>0</v>
      </c>
      <c r="W61" s="17">
        <f t="shared" si="10"/>
        <v>0</v>
      </c>
      <c r="X61" s="17">
        <f t="shared" si="10"/>
        <v>0</v>
      </c>
      <c r="Y61" s="17">
        <f t="shared" si="10"/>
        <v>0</v>
      </c>
      <c r="Z61" s="17">
        <f t="shared" si="10"/>
        <v>0</v>
      </c>
      <c r="AA61" s="17">
        <f t="shared" si="10"/>
        <v>0</v>
      </c>
      <c r="AB61" s="23">
        <f t="shared" si="10"/>
        <v>0</v>
      </c>
      <c r="AC61" s="23">
        <f t="shared" si="10"/>
        <v>951386</v>
      </c>
    </row>
    <row r="62" spans="1:29" s="3" customFormat="1" ht="12.75">
      <c r="A62" s="84">
        <v>30</v>
      </c>
      <c r="B62" s="85" t="s">
        <v>43</v>
      </c>
      <c r="C62" s="12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78"/>
    </row>
    <row r="63" spans="1:29" s="3" customFormat="1" ht="12.75">
      <c r="A63" s="22"/>
      <c r="B63" s="76" t="s">
        <v>44</v>
      </c>
      <c r="C63" s="118" t="s">
        <v>119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8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8"/>
      <c r="AC63" s="78"/>
    </row>
    <row r="64" spans="1:29" s="3" customFormat="1" ht="12.75">
      <c r="A64" s="54"/>
      <c r="B64" s="55"/>
      <c r="C64" s="119" t="s">
        <v>120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57"/>
    </row>
    <row r="65" spans="1:29" s="3" customFormat="1" ht="12.75">
      <c r="A65" s="25"/>
      <c r="B65" s="26" t="s">
        <v>45</v>
      </c>
      <c r="C65" s="13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3">
        <f>SUM(E65:N65)</f>
        <v>0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3">
        <f>SUM(P65:AA65)</f>
        <v>0</v>
      </c>
      <c r="AC65" s="23">
        <f>O65+AB65</f>
        <v>0</v>
      </c>
    </row>
    <row r="66" spans="1:29" s="3" customFormat="1" ht="12.75">
      <c r="A66" s="25"/>
      <c r="B66" s="26" t="s">
        <v>46</v>
      </c>
      <c r="C66" s="13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3">
        <f>SUM(E66:N66)</f>
        <v>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3">
        <f>SUM(P66:AA66)</f>
        <v>0</v>
      </c>
      <c r="AC66" s="23">
        <f>O66+AB66</f>
        <v>0</v>
      </c>
    </row>
    <row r="67" spans="1:29" s="3" customFormat="1" ht="12.75">
      <c r="A67" s="25"/>
      <c r="B67" s="26" t="s">
        <v>134</v>
      </c>
      <c r="C67" s="13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3">
        <f>SUM(E67:N67)</f>
        <v>0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3">
        <f>SUM(P67:AA67)</f>
        <v>0</v>
      </c>
      <c r="AC67" s="23">
        <f>O67+AB67</f>
        <v>0</v>
      </c>
    </row>
    <row r="68" spans="1:29" s="3" customFormat="1" ht="12.75">
      <c r="A68" s="25"/>
      <c r="B68" s="39" t="s">
        <v>47</v>
      </c>
      <c r="C68" s="121" t="s">
        <v>138</v>
      </c>
      <c r="D68" s="17">
        <f aca="true" t="shared" si="11" ref="D68:AC68">SUM(D65:D67)</f>
        <v>0</v>
      </c>
      <c r="E68" s="17">
        <f t="shared" si="11"/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</row>
    <row r="69" spans="1:29" s="3" customFormat="1" ht="12.75">
      <c r="A69" s="59"/>
      <c r="B69" s="66" t="s">
        <v>48</v>
      </c>
      <c r="C69" s="123" t="s">
        <v>105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</row>
    <row r="70" spans="1:29" s="3" customFormat="1" ht="12.75">
      <c r="A70" s="54"/>
      <c r="B70" s="67"/>
      <c r="C70" s="128" t="s">
        <v>106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7"/>
    </row>
    <row r="71" spans="1:29" s="3" customFormat="1" ht="12.75">
      <c r="A71" s="25"/>
      <c r="B71" s="39" t="s">
        <v>49</v>
      </c>
      <c r="C71" s="121" t="str">
        <f>'detailed GEF budget BIS'!C65</f>
        <v>Training for Result 1</v>
      </c>
      <c r="D71" s="15">
        <f>'detailed GEF budget BIS'!G65</f>
        <v>201118.03999999998</v>
      </c>
      <c r="E71" s="16">
        <f>D71</f>
        <v>201118.03999999998</v>
      </c>
      <c r="F71" s="15"/>
      <c r="G71" s="15"/>
      <c r="H71" s="15"/>
      <c r="I71" s="15"/>
      <c r="J71" s="15"/>
      <c r="K71" s="15"/>
      <c r="L71" s="15"/>
      <c r="M71" s="15"/>
      <c r="N71" s="15"/>
      <c r="O71" s="23">
        <f>SUM(E71:N71)</f>
        <v>201118.03999999998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23">
        <f>SUM(P71:AA71)</f>
        <v>0</v>
      </c>
      <c r="AC71" s="23">
        <f>O71+AB71</f>
        <v>201118.03999999998</v>
      </c>
    </row>
    <row r="72" spans="1:29" s="3" customFormat="1" ht="12.75">
      <c r="A72" s="25"/>
      <c r="B72" s="39" t="s">
        <v>92</v>
      </c>
      <c r="C72" s="121" t="str">
        <f>'detailed GEF budget BIS'!C66</f>
        <v>Training for Result 2</v>
      </c>
      <c r="D72" s="15">
        <f>'detailed GEF budget BIS'!G66</f>
        <v>82000</v>
      </c>
      <c r="E72" s="16">
        <f>D72</f>
        <v>82000</v>
      </c>
      <c r="F72" s="15"/>
      <c r="G72" s="15"/>
      <c r="H72" s="15"/>
      <c r="I72" s="15"/>
      <c r="J72" s="15"/>
      <c r="K72" s="15"/>
      <c r="L72" s="15"/>
      <c r="M72" s="15"/>
      <c r="N72" s="15"/>
      <c r="O72" s="2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3"/>
      <c r="AC72" s="23"/>
    </row>
    <row r="73" spans="1:29" s="3" customFormat="1" ht="12.75">
      <c r="A73" s="25"/>
      <c r="B73" s="39" t="s">
        <v>93</v>
      </c>
      <c r="C73" s="121" t="str">
        <f>'detailed GEF budget BIS'!C67</f>
        <v>Training for Result 3</v>
      </c>
      <c r="D73" s="15">
        <f>'detailed GEF budget BIS'!G67</f>
        <v>0</v>
      </c>
      <c r="E73" s="16">
        <f>D73</f>
        <v>0</v>
      </c>
      <c r="F73" s="15">
        <f>COUNTRIES!B116</f>
        <v>16000</v>
      </c>
      <c r="G73" s="15">
        <f>COUNTRIES!C116</f>
        <v>10000</v>
      </c>
      <c r="H73" s="15">
        <f>COUNTRIES!D116</f>
        <v>0</v>
      </c>
      <c r="I73" s="15">
        <f>COUNTRIES!E116</f>
        <v>0</v>
      </c>
      <c r="J73" s="15">
        <f>COUNTRIES!F116</f>
        <v>16000</v>
      </c>
      <c r="K73" s="15">
        <f>COUNTRIES!G116</f>
        <v>0</v>
      </c>
      <c r="L73" s="15"/>
      <c r="M73" s="15"/>
      <c r="N73" s="15"/>
      <c r="O73" s="23">
        <f>SUM(E73:N73)</f>
        <v>42000</v>
      </c>
      <c r="P73" s="15">
        <f>COUNTRIES!J116</f>
        <v>12000</v>
      </c>
      <c r="Q73" s="15">
        <f>COUNTRIES!K116</f>
        <v>0</v>
      </c>
      <c r="R73" s="15">
        <f>COUNTRIES!L116</f>
        <v>0</v>
      </c>
      <c r="S73" s="15">
        <f>COUNTRIES!M116</f>
        <v>20000</v>
      </c>
      <c r="T73" s="15">
        <f>COUNTRIES!N116</f>
        <v>0</v>
      </c>
      <c r="U73" s="15">
        <f>COUNTRIES!O116</f>
        <v>50000</v>
      </c>
      <c r="V73" s="15"/>
      <c r="W73" s="15"/>
      <c r="X73" s="15"/>
      <c r="Y73" s="15"/>
      <c r="Z73" s="15"/>
      <c r="AA73" s="15"/>
      <c r="AB73" s="23">
        <f>SUM(P73:AA73)</f>
        <v>82000</v>
      </c>
      <c r="AC73" s="23">
        <f>O73+AB73</f>
        <v>124000</v>
      </c>
    </row>
    <row r="74" spans="1:29" s="3" customFormat="1" ht="12.75">
      <c r="A74" s="25"/>
      <c r="B74" s="39" t="s">
        <v>203</v>
      </c>
      <c r="C74" s="121" t="str">
        <f>COUNTRIES!A35</f>
        <v>Contribution to national trainings</v>
      </c>
      <c r="D74" s="15"/>
      <c r="E74" s="16"/>
      <c r="F74" s="15">
        <f>COUNTRIES!B117</f>
        <v>7940</v>
      </c>
      <c r="G74" s="15">
        <f>COUNTRIES!C117</f>
        <v>5000</v>
      </c>
      <c r="H74" s="15">
        <f>COUNTRIES!D117</f>
        <v>57000</v>
      </c>
      <c r="I74" s="15">
        <f>COUNTRIES!E117</f>
        <v>4140</v>
      </c>
      <c r="J74" s="15">
        <f>COUNTRIES!F117</f>
        <v>7940</v>
      </c>
      <c r="K74" s="15">
        <f>COUNTRIES!G117</f>
        <v>0</v>
      </c>
      <c r="L74" s="15"/>
      <c r="M74" s="15"/>
      <c r="N74" s="15"/>
      <c r="O74" s="23">
        <f>SUM(E74:N74)</f>
        <v>82020</v>
      </c>
      <c r="P74" s="15">
        <f>COUNTRIES!J117</f>
        <v>27000</v>
      </c>
      <c r="Q74" s="15">
        <f>COUNTRIES!K117</f>
        <v>0</v>
      </c>
      <c r="R74" s="15">
        <f>COUNTRIES!L117</f>
        <v>0</v>
      </c>
      <c r="S74" s="15">
        <f>COUNTRIES!M117</f>
        <v>24000</v>
      </c>
      <c r="T74" s="15">
        <f>COUNTRIES!N117</f>
        <v>0</v>
      </c>
      <c r="U74" s="15">
        <f>COUNTRIES!O117</f>
        <v>40000</v>
      </c>
      <c r="V74" s="15"/>
      <c r="W74" s="15"/>
      <c r="X74" s="15"/>
      <c r="Y74" s="15"/>
      <c r="Z74" s="15"/>
      <c r="AA74" s="15"/>
      <c r="AB74" s="23">
        <f>SUM(P74:AA74)</f>
        <v>91000</v>
      </c>
      <c r="AC74" s="23">
        <f>O74+AB74</f>
        <v>173020</v>
      </c>
    </row>
    <row r="75" spans="1:29" s="3" customFormat="1" ht="12.75">
      <c r="A75" s="25"/>
      <c r="B75" s="39" t="s">
        <v>50</v>
      </c>
      <c r="C75" s="121" t="s">
        <v>138</v>
      </c>
      <c r="D75" s="17">
        <f>SUM(D71:D73)</f>
        <v>283118.04</v>
      </c>
      <c r="E75" s="17">
        <f aca="true" t="shared" si="12" ref="E75:AC75">SUM(E71:E74)</f>
        <v>283118.04</v>
      </c>
      <c r="F75" s="17">
        <f t="shared" si="12"/>
        <v>23940</v>
      </c>
      <c r="G75" s="17">
        <f t="shared" si="12"/>
        <v>15000</v>
      </c>
      <c r="H75" s="17">
        <f t="shared" si="12"/>
        <v>57000</v>
      </c>
      <c r="I75" s="17">
        <f t="shared" si="12"/>
        <v>4140</v>
      </c>
      <c r="J75" s="17">
        <f t="shared" si="12"/>
        <v>23940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325138.04</v>
      </c>
      <c r="P75" s="17">
        <f t="shared" si="12"/>
        <v>39000</v>
      </c>
      <c r="Q75" s="17">
        <f t="shared" si="12"/>
        <v>0</v>
      </c>
      <c r="R75" s="17">
        <f t="shared" si="12"/>
        <v>0</v>
      </c>
      <c r="S75" s="17">
        <f t="shared" si="12"/>
        <v>44000</v>
      </c>
      <c r="T75" s="17">
        <f t="shared" si="12"/>
        <v>0</v>
      </c>
      <c r="U75" s="17">
        <f t="shared" si="12"/>
        <v>90000</v>
      </c>
      <c r="V75" s="1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173000</v>
      </c>
      <c r="AC75" s="17">
        <f t="shared" si="12"/>
        <v>498138.04</v>
      </c>
    </row>
    <row r="76" spans="1:29" s="3" customFormat="1" ht="12.75">
      <c r="A76" s="25"/>
      <c r="B76" s="40" t="s">
        <v>51</v>
      </c>
      <c r="C76" s="125" t="s">
        <v>94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3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34"/>
      <c r="AC76" s="34"/>
    </row>
    <row r="77" spans="1:29" s="3" customFormat="1" ht="12.75">
      <c r="A77" s="25"/>
      <c r="B77" s="39" t="s">
        <v>52</v>
      </c>
      <c r="C77" s="121" t="str">
        <f>'detailed GEF budget BIS'!C70</f>
        <v>5 Project Steering committee meetings</v>
      </c>
      <c r="D77" s="16">
        <f>'detailed GEF budget BIS'!G70</f>
        <v>197000</v>
      </c>
      <c r="E77" s="16">
        <f>D77</f>
        <v>197000</v>
      </c>
      <c r="F77" s="16">
        <f>COUNTRIES!B119</f>
        <v>937.5</v>
      </c>
      <c r="G77" s="16">
        <f>COUNTRIES!C119</f>
        <v>5000</v>
      </c>
      <c r="H77" s="16">
        <f>COUNTRIES!D119</f>
        <v>0</v>
      </c>
      <c r="I77" s="16">
        <f>COUNTRIES!E119</f>
        <v>600</v>
      </c>
      <c r="J77" s="16">
        <f>COUNTRIES!F119</f>
        <v>937.5</v>
      </c>
      <c r="K77" s="16">
        <f>COUNTRIES!G119</f>
        <v>1006</v>
      </c>
      <c r="L77" s="16"/>
      <c r="M77" s="16"/>
      <c r="N77" s="16"/>
      <c r="O77" s="23">
        <f aca="true" t="shared" si="13" ref="O77:O82">SUM(E77:N77)</f>
        <v>205481</v>
      </c>
      <c r="P77" s="16">
        <f>COUNTRIES!J119</f>
        <v>3375</v>
      </c>
      <c r="Q77" s="16">
        <f>COUNTRIES!K119</f>
        <v>0</v>
      </c>
      <c r="R77" s="16">
        <f>COUNTRIES!L119</f>
        <v>0</v>
      </c>
      <c r="S77" s="16">
        <f>COUNTRIES!M119</f>
        <v>3000</v>
      </c>
      <c r="T77" s="16">
        <f>COUNTRIES!N119</f>
        <v>0</v>
      </c>
      <c r="U77" s="16">
        <f>COUNTRIES!O119</f>
        <v>5000</v>
      </c>
      <c r="V77" s="16"/>
      <c r="W77" s="16"/>
      <c r="X77" s="16"/>
      <c r="Y77" s="16"/>
      <c r="Z77" s="16"/>
      <c r="AA77" s="16"/>
      <c r="AB77" s="23">
        <f aca="true" t="shared" si="14" ref="AB77:AB82">SUM(P77:AA77)</f>
        <v>11375</v>
      </c>
      <c r="AC77" s="23">
        <f aca="true" t="shared" si="15" ref="AC77:AC82">O77+AB77</f>
        <v>216856</v>
      </c>
    </row>
    <row r="78" spans="1:29" s="3" customFormat="1" ht="25.5">
      <c r="A78" s="25"/>
      <c r="B78" s="39" t="s">
        <v>53</v>
      </c>
      <c r="C78" s="121" t="str">
        <f>'detailed GEF budget BIS'!C71</f>
        <v>Organize one scientific workshop in collaboration with UNIESCO</v>
      </c>
      <c r="D78" s="16">
        <f>'detailed GEF budget BIS'!G71</f>
        <v>0</v>
      </c>
      <c r="E78" s="16">
        <f>D78</f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23">
        <f t="shared" si="13"/>
        <v>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3">
        <f t="shared" si="14"/>
        <v>0</v>
      </c>
      <c r="AC78" s="23">
        <f t="shared" si="15"/>
        <v>0</v>
      </c>
    </row>
    <row r="79" spans="1:29" s="3" customFormat="1" ht="12.75">
      <c r="A79" s="25"/>
      <c r="B79" s="39" t="s">
        <v>54</v>
      </c>
      <c r="C79" s="121" t="str">
        <f>'detailed GEF budget BIS'!C72</f>
        <v>Workshop for Result 1</v>
      </c>
      <c r="D79" s="16">
        <f>'detailed GEF budget BIS'!G72</f>
        <v>0</v>
      </c>
      <c r="E79" s="16">
        <f>D79</f>
        <v>0</v>
      </c>
      <c r="F79" s="16"/>
      <c r="G79" s="16"/>
      <c r="H79" s="16"/>
      <c r="I79" s="16"/>
      <c r="J79" s="16"/>
      <c r="K79" s="16"/>
      <c r="L79" s="16"/>
      <c r="M79" s="173">
        <v>50000</v>
      </c>
      <c r="N79" s="16"/>
      <c r="O79" s="23">
        <f t="shared" si="13"/>
        <v>50000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3">
        <f t="shared" si="14"/>
        <v>0</v>
      </c>
      <c r="AC79" s="23">
        <f t="shared" si="15"/>
        <v>50000</v>
      </c>
    </row>
    <row r="80" spans="1:29" s="3" customFormat="1" ht="12.75">
      <c r="A80" s="25"/>
      <c r="B80" s="39" t="s">
        <v>189</v>
      </c>
      <c r="C80" s="121" t="str">
        <f>'detailed GEF budget BIS'!C73</f>
        <v>Workshop for Result 2</v>
      </c>
      <c r="D80" s="16">
        <f>'detailed GEF budget BIS'!G73</f>
        <v>432000</v>
      </c>
      <c r="E80" s="16">
        <f>D80</f>
        <v>432000</v>
      </c>
      <c r="F80" s="16">
        <f>COUNTRIES!B120</f>
        <v>7000</v>
      </c>
      <c r="G80" s="16">
        <f>COUNTRIES!C120</f>
        <v>5000</v>
      </c>
      <c r="H80" s="16">
        <f>COUNTRIES!D120</f>
        <v>0</v>
      </c>
      <c r="I80" s="16">
        <f>COUNTRIES!E120</f>
        <v>3260</v>
      </c>
      <c r="J80" s="16">
        <f>COUNTRIES!F120</f>
        <v>7000</v>
      </c>
      <c r="K80" s="16">
        <f>COUNTRIES!G120</f>
        <v>0</v>
      </c>
      <c r="L80" s="16"/>
      <c r="M80" s="16"/>
      <c r="N80" s="16"/>
      <c r="O80" s="23">
        <f t="shared" si="13"/>
        <v>454260</v>
      </c>
      <c r="P80" s="16">
        <f>COUNTRIES!J120</f>
        <v>0</v>
      </c>
      <c r="Q80" s="16">
        <f>COUNTRIES!K120</f>
        <v>0</v>
      </c>
      <c r="R80" s="16">
        <f>COUNTRIES!L120</f>
        <v>0</v>
      </c>
      <c r="S80" s="16">
        <f>COUNTRIES!M120</f>
        <v>2410</v>
      </c>
      <c r="T80" s="16">
        <f>COUNTRIES!N120</f>
        <v>0</v>
      </c>
      <c r="U80" s="16">
        <f>COUNTRIES!O120</f>
        <v>5000</v>
      </c>
      <c r="V80" s="16"/>
      <c r="W80" s="16"/>
      <c r="X80" s="16"/>
      <c r="Y80" s="16"/>
      <c r="Z80" s="16"/>
      <c r="AA80" s="16"/>
      <c r="AB80" s="23">
        <f t="shared" si="14"/>
        <v>7410</v>
      </c>
      <c r="AC80" s="23">
        <f t="shared" si="15"/>
        <v>461670</v>
      </c>
    </row>
    <row r="81" spans="1:29" s="3" customFormat="1" ht="12.75">
      <c r="A81" s="25"/>
      <c r="B81" s="39" t="s">
        <v>190</v>
      </c>
      <c r="C81" s="121" t="str">
        <f>'detailed GEF budget BIS'!C74</f>
        <v>Workshop for Result 3</v>
      </c>
      <c r="D81" s="16">
        <f>'detailed GEF budget BIS'!G74</f>
        <v>36000</v>
      </c>
      <c r="E81" s="16">
        <f>D81</f>
        <v>36000</v>
      </c>
      <c r="F81" s="15">
        <f>COUNTRIES!B121</f>
        <v>7000</v>
      </c>
      <c r="G81" s="15">
        <f>COUNTRIES!C121</f>
        <v>7000</v>
      </c>
      <c r="H81" s="15">
        <f>COUNTRIES!D121</f>
        <v>0</v>
      </c>
      <c r="I81" s="15">
        <f>COUNTRIES!E121</f>
        <v>0</v>
      </c>
      <c r="J81" s="15">
        <f>COUNTRIES!F121</f>
        <v>6545</v>
      </c>
      <c r="K81" s="15">
        <f>COUNTRIES!G121</f>
        <v>0</v>
      </c>
      <c r="L81" s="15"/>
      <c r="M81" s="15"/>
      <c r="N81" s="15"/>
      <c r="O81" s="23">
        <f t="shared" si="13"/>
        <v>56545</v>
      </c>
      <c r="P81" s="15">
        <f>COUNTRIES!J121</f>
        <v>0</v>
      </c>
      <c r="Q81" s="15">
        <f>COUNTRIES!K121</f>
        <v>0</v>
      </c>
      <c r="R81" s="15">
        <f>COUNTRIES!L121</f>
        <v>0</v>
      </c>
      <c r="S81" s="15">
        <f>COUNTRIES!M121</f>
        <v>0</v>
      </c>
      <c r="T81" s="15">
        <f>COUNTRIES!N121</f>
        <v>0</v>
      </c>
      <c r="U81" s="15">
        <f>COUNTRIES!O121</f>
        <v>5000</v>
      </c>
      <c r="V81" s="15"/>
      <c r="W81" s="15"/>
      <c r="X81" s="15"/>
      <c r="Y81" s="15"/>
      <c r="Z81" s="15"/>
      <c r="AA81" s="15"/>
      <c r="AB81" s="23">
        <f t="shared" si="14"/>
        <v>5000</v>
      </c>
      <c r="AC81" s="23">
        <f t="shared" si="15"/>
        <v>61545</v>
      </c>
    </row>
    <row r="82" spans="1:29" s="3" customFormat="1" ht="12.75">
      <c r="A82" s="25"/>
      <c r="B82" s="39" t="s">
        <v>194</v>
      </c>
      <c r="C82" s="121" t="s">
        <v>426</v>
      </c>
      <c r="D82" s="16"/>
      <c r="E82" s="16"/>
      <c r="F82" s="15">
        <f>COUNTRIES!B122</f>
        <v>24700</v>
      </c>
      <c r="G82" s="15">
        <f>COUNTRIES!C122</f>
        <v>20000</v>
      </c>
      <c r="H82" s="15">
        <f>COUNTRIES!D122</f>
        <v>0</v>
      </c>
      <c r="I82" s="15">
        <f>COUNTRIES!E122</f>
        <v>8000</v>
      </c>
      <c r="J82" s="15">
        <f>COUNTRIES!F122</f>
        <v>32875</v>
      </c>
      <c r="K82" s="15">
        <f>COUNTRIES!G122</f>
        <v>0</v>
      </c>
      <c r="L82" s="15"/>
      <c r="M82" s="15"/>
      <c r="N82" s="15"/>
      <c r="O82" s="23">
        <f t="shared" si="13"/>
        <v>85575</v>
      </c>
      <c r="P82" s="15">
        <f>COUNTRIES!J122</f>
        <v>50850</v>
      </c>
      <c r="Q82" s="15">
        <f>COUNTRIES!K122</f>
        <v>0</v>
      </c>
      <c r="R82" s="15">
        <f>COUNTRIES!L122</f>
        <v>175000</v>
      </c>
      <c r="S82" s="15">
        <f>COUNTRIES!M122</f>
        <v>45150</v>
      </c>
      <c r="T82" s="15">
        <f>COUNTRIES!N122</f>
        <v>0</v>
      </c>
      <c r="U82" s="15">
        <f>COUNTRIES!O122</f>
        <v>68000</v>
      </c>
      <c r="V82" s="15"/>
      <c r="W82" s="15"/>
      <c r="X82" s="15"/>
      <c r="Y82" s="15"/>
      <c r="Z82" s="15"/>
      <c r="AA82" s="15"/>
      <c r="AB82" s="23">
        <f t="shared" si="14"/>
        <v>339000</v>
      </c>
      <c r="AC82" s="23">
        <f t="shared" si="15"/>
        <v>424575</v>
      </c>
    </row>
    <row r="83" spans="1:29" s="3" customFormat="1" ht="12.75">
      <c r="A83" s="25"/>
      <c r="B83" s="39" t="s">
        <v>55</v>
      </c>
      <c r="C83" s="121" t="s">
        <v>138</v>
      </c>
      <c r="D83" s="17">
        <f>SUM(D77:D81)</f>
        <v>665000</v>
      </c>
      <c r="E83" s="17">
        <f aca="true" t="shared" si="16" ref="E83:AC83">SUM(E77:E82)</f>
        <v>665000</v>
      </c>
      <c r="F83" s="17">
        <f t="shared" si="16"/>
        <v>39637.5</v>
      </c>
      <c r="G83" s="17">
        <f t="shared" si="16"/>
        <v>37000</v>
      </c>
      <c r="H83" s="17">
        <f t="shared" si="16"/>
        <v>0</v>
      </c>
      <c r="I83" s="17">
        <f t="shared" si="16"/>
        <v>11860</v>
      </c>
      <c r="J83" s="17">
        <f t="shared" si="16"/>
        <v>47357.5</v>
      </c>
      <c r="K83" s="17">
        <f t="shared" si="16"/>
        <v>1006</v>
      </c>
      <c r="L83" s="17">
        <f t="shared" si="16"/>
        <v>0</v>
      </c>
      <c r="M83" s="17">
        <f t="shared" si="16"/>
        <v>50000</v>
      </c>
      <c r="N83" s="17">
        <f t="shared" si="16"/>
        <v>0</v>
      </c>
      <c r="O83" s="17">
        <f t="shared" si="16"/>
        <v>851861</v>
      </c>
      <c r="P83" s="17">
        <f t="shared" si="16"/>
        <v>54225</v>
      </c>
      <c r="Q83" s="17">
        <f t="shared" si="16"/>
        <v>0</v>
      </c>
      <c r="R83" s="17">
        <f t="shared" si="16"/>
        <v>175000</v>
      </c>
      <c r="S83" s="17">
        <f t="shared" si="16"/>
        <v>50560</v>
      </c>
      <c r="T83" s="17">
        <f t="shared" si="16"/>
        <v>0</v>
      </c>
      <c r="U83" s="17">
        <f t="shared" si="16"/>
        <v>83000</v>
      </c>
      <c r="V83" s="17">
        <f t="shared" si="16"/>
        <v>0</v>
      </c>
      <c r="W83" s="17">
        <f t="shared" si="16"/>
        <v>0</v>
      </c>
      <c r="X83" s="17">
        <f t="shared" si="16"/>
        <v>0</v>
      </c>
      <c r="Y83" s="17">
        <f t="shared" si="16"/>
        <v>0</v>
      </c>
      <c r="Z83" s="17">
        <f t="shared" si="16"/>
        <v>0</v>
      </c>
      <c r="AA83" s="17">
        <f t="shared" si="16"/>
        <v>0</v>
      </c>
      <c r="AB83" s="17">
        <f t="shared" si="16"/>
        <v>362785</v>
      </c>
      <c r="AC83" s="17">
        <f t="shared" si="16"/>
        <v>1214646</v>
      </c>
    </row>
    <row r="84" spans="1:29" s="3" customFormat="1" ht="12.75">
      <c r="A84" s="35"/>
      <c r="B84" s="36">
        <v>3999</v>
      </c>
      <c r="C84" s="126" t="s">
        <v>29</v>
      </c>
      <c r="D84" s="17">
        <f aca="true" t="shared" si="17" ref="D84:AC84">+D68+D75+D83</f>
        <v>948118.04</v>
      </c>
      <c r="E84" s="17">
        <f t="shared" si="17"/>
        <v>948118.04</v>
      </c>
      <c r="F84" s="17">
        <f t="shared" si="17"/>
        <v>63577.5</v>
      </c>
      <c r="G84" s="17">
        <f t="shared" si="17"/>
        <v>52000</v>
      </c>
      <c r="H84" s="17">
        <f t="shared" si="17"/>
        <v>57000</v>
      </c>
      <c r="I84" s="17">
        <f t="shared" si="17"/>
        <v>16000</v>
      </c>
      <c r="J84" s="17">
        <f t="shared" si="17"/>
        <v>71297.5</v>
      </c>
      <c r="K84" s="17">
        <f t="shared" si="17"/>
        <v>1006</v>
      </c>
      <c r="L84" s="17">
        <f t="shared" si="17"/>
        <v>0</v>
      </c>
      <c r="M84" s="17">
        <f t="shared" si="17"/>
        <v>50000</v>
      </c>
      <c r="N84" s="17">
        <f t="shared" si="17"/>
        <v>0</v>
      </c>
      <c r="O84" s="23">
        <f t="shared" si="17"/>
        <v>1176999.04</v>
      </c>
      <c r="P84" s="17">
        <f t="shared" si="17"/>
        <v>93225</v>
      </c>
      <c r="Q84" s="17">
        <f t="shared" si="17"/>
        <v>0</v>
      </c>
      <c r="R84" s="17">
        <f t="shared" si="17"/>
        <v>175000</v>
      </c>
      <c r="S84" s="17">
        <f t="shared" si="17"/>
        <v>94560</v>
      </c>
      <c r="T84" s="17">
        <f t="shared" si="17"/>
        <v>0</v>
      </c>
      <c r="U84" s="17">
        <f t="shared" si="17"/>
        <v>173000</v>
      </c>
      <c r="V84" s="17">
        <f t="shared" si="17"/>
        <v>0</v>
      </c>
      <c r="W84" s="17">
        <f t="shared" si="17"/>
        <v>0</v>
      </c>
      <c r="X84" s="17">
        <f t="shared" si="17"/>
        <v>0</v>
      </c>
      <c r="Y84" s="17">
        <f t="shared" si="17"/>
        <v>0</v>
      </c>
      <c r="Z84" s="17">
        <f t="shared" si="17"/>
        <v>0</v>
      </c>
      <c r="AA84" s="17">
        <f t="shared" si="17"/>
        <v>0</v>
      </c>
      <c r="AB84" s="23">
        <f t="shared" si="17"/>
        <v>535785</v>
      </c>
      <c r="AC84" s="23">
        <f t="shared" si="17"/>
        <v>1712784.04</v>
      </c>
    </row>
    <row r="85" spans="1:29" s="3" customFormat="1" ht="12.75">
      <c r="A85" s="80">
        <v>40</v>
      </c>
      <c r="B85" s="86" t="s">
        <v>127</v>
      </c>
      <c r="C85" s="12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</row>
    <row r="86" spans="1:29" s="3" customFormat="1" ht="12.75">
      <c r="A86" s="22"/>
      <c r="B86" s="76" t="s">
        <v>56</v>
      </c>
      <c r="C86" s="118" t="s">
        <v>103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2"/>
      <c r="AC86" s="82"/>
    </row>
    <row r="87" spans="1:29" s="3" customFormat="1" ht="12.75">
      <c r="A87" s="54"/>
      <c r="B87" s="55"/>
      <c r="C87" s="119" t="s">
        <v>121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5"/>
      <c r="AC87" s="65"/>
    </row>
    <row r="88" spans="1:29" s="3" customFormat="1" ht="12.75">
      <c r="A88" s="25"/>
      <c r="B88" s="26" t="s">
        <v>57</v>
      </c>
      <c r="C88" s="130" t="s">
        <v>58</v>
      </c>
      <c r="D88" s="15">
        <f>'detailed GEF budget BIS'!G80</f>
        <v>15000</v>
      </c>
      <c r="E88" s="15">
        <f>D88</f>
        <v>15000</v>
      </c>
      <c r="F88" s="15">
        <f>COUNTRIES!B124</f>
        <v>0</v>
      </c>
      <c r="G88" s="15">
        <f>COUNTRIES!C124</f>
        <v>2400</v>
      </c>
      <c r="H88" s="15">
        <f>COUNTRIES!D124</f>
        <v>0</v>
      </c>
      <c r="I88" s="15">
        <f>COUNTRIES!E124</f>
        <v>0</v>
      </c>
      <c r="J88" s="15">
        <f>COUNTRIES!F124</f>
        <v>0</v>
      </c>
      <c r="K88" s="15">
        <f>COUNTRIES!G124</f>
        <v>0</v>
      </c>
      <c r="L88" s="15"/>
      <c r="M88" s="15"/>
      <c r="N88" s="15"/>
      <c r="O88" s="23">
        <f>SUM(E88:N88)</f>
        <v>17400</v>
      </c>
      <c r="P88" s="15">
        <f>COUNTRIES!J124</f>
        <v>6000</v>
      </c>
      <c r="Q88" s="15">
        <f>COUNTRIES!K124</f>
        <v>0</v>
      </c>
      <c r="R88" s="15">
        <f>COUNTRIES!L124</f>
        <v>0</v>
      </c>
      <c r="S88" s="15">
        <f>COUNTRIES!M124</f>
        <v>6000</v>
      </c>
      <c r="T88" s="15">
        <f>COUNTRIES!N124</f>
        <v>0</v>
      </c>
      <c r="U88" s="15">
        <f>COUNTRIES!O124</f>
        <v>16000</v>
      </c>
      <c r="V88" s="15"/>
      <c r="W88" s="15"/>
      <c r="X88" s="15"/>
      <c r="Y88" s="15"/>
      <c r="Z88" s="15"/>
      <c r="AA88" s="15"/>
      <c r="AB88" s="23">
        <f>SUM(P88:AA88)</f>
        <v>28000</v>
      </c>
      <c r="AC88" s="23">
        <f>O88+AB88</f>
        <v>45400</v>
      </c>
    </row>
    <row r="89" spans="1:29" s="3" customFormat="1" ht="12.75">
      <c r="A89" s="25"/>
      <c r="B89" s="26" t="s">
        <v>59</v>
      </c>
      <c r="C89" s="130" t="s">
        <v>60</v>
      </c>
      <c r="D89" s="15">
        <f>'detailed GEF budget BIS'!G81</f>
        <v>4500</v>
      </c>
      <c r="E89" s="15">
        <f>D89</f>
        <v>4500</v>
      </c>
      <c r="F89" s="15"/>
      <c r="G89" s="15"/>
      <c r="H89" s="15"/>
      <c r="I89" s="15"/>
      <c r="J89" s="15"/>
      <c r="K89" s="15"/>
      <c r="L89" s="15"/>
      <c r="M89" s="15"/>
      <c r="N89" s="15"/>
      <c r="O89" s="23">
        <f>SUM(E89:N89)</f>
        <v>4500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23">
        <f>SUM(P89:AA89)</f>
        <v>0</v>
      </c>
      <c r="AC89" s="23">
        <f>O89+AB89</f>
        <v>4500</v>
      </c>
    </row>
    <row r="90" spans="1:29" s="3" customFormat="1" ht="12.75">
      <c r="A90" s="25"/>
      <c r="B90" s="26" t="s">
        <v>61</v>
      </c>
      <c r="C90" s="130" t="s">
        <v>62</v>
      </c>
      <c r="D90" s="15">
        <f>'detailed GEF budget BIS'!G82</f>
        <v>30000</v>
      </c>
      <c r="E90" s="15">
        <f>D90</f>
        <v>30000</v>
      </c>
      <c r="F90" s="15"/>
      <c r="G90" s="15"/>
      <c r="H90" s="15"/>
      <c r="I90" s="15"/>
      <c r="J90" s="15"/>
      <c r="K90" s="15"/>
      <c r="L90" s="15"/>
      <c r="M90" s="15"/>
      <c r="N90" s="15"/>
      <c r="O90" s="23">
        <f>SUM(E90:N90)</f>
        <v>30000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23">
        <f>SUM(P90:AA90)</f>
        <v>0</v>
      </c>
      <c r="AC90" s="23">
        <f>O90+AB90</f>
        <v>30000</v>
      </c>
    </row>
    <row r="91" spans="1:29" s="3" customFormat="1" ht="12.75">
      <c r="A91" s="25"/>
      <c r="B91" s="39" t="s">
        <v>63</v>
      </c>
      <c r="C91" s="121" t="s">
        <v>138</v>
      </c>
      <c r="D91" s="17">
        <f aca="true" t="shared" si="18" ref="D91:AC91">SUM(D88:D90)</f>
        <v>49500</v>
      </c>
      <c r="E91" s="17">
        <f t="shared" si="18"/>
        <v>49500</v>
      </c>
      <c r="F91" s="17">
        <f t="shared" si="18"/>
        <v>0</v>
      </c>
      <c r="G91" s="17">
        <f t="shared" si="18"/>
        <v>2400</v>
      </c>
      <c r="H91" s="17">
        <f t="shared" si="18"/>
        <v>0</v>
      </c>
      <c r="I91" s="17">
        <f t="shared" si="18"/>
        <v>0</v>
      </c>
      <c r="J91" s="17">
        <f t="shared" si="18"/>
        <v>0</v>
      </c>
      <c r="K91" s="17">
        <f t="shared" si="18"/>
        <v>0</v>
      </c>
      <c r="L91" s="17">
        <f t="shared" si="18"/>
        <v>0</v>
      </c>
      <c r="M91" s="17">
        <f t="shared" si="18"/>
        <v>0</v>
      </c>
      <c r="N91" s="17">
        <f t="shared" si="18"/>
        <v>0</v>
      </c>
      <c r="O91" s="23">
        <f t="shared" si="18"/>
        <v>51900</v>
      </c>
      <c r="P91" s="17">
        <f t="shared" si="18"/>
        <v>6000</v>
      </c>
      <c r="Q91" s="17">
        <f t="shared" si="18"/>
        <v>0</v>
      </c>
      <c r="R91" s="17">
        <f t="shared" si="18"/>
        <v>0</v>
      </c>
      <c r="S91" s="17">
        <f t="shared" si="18"/>
        <v>6000</v>
      </c>
      <c r="T91" s="17">
        <f t="shared" si="18"/>
        <v>0</v>
      </c>
      <c r="U91" s="17">
        <f t="shared" si="18"/>
        <v>16000</v>
      </c>
      <c r="V91" s="17">
        <f t="shared" si="18"/>
        <v>0</v>
      </c>
      <c r="W91" s="17">
        <f t="shared" si="18"/>
        <v>0</v>
      </c>
      <c r="X91" s="17">
        <f t="shared" si="18"/>
        <v>0</v>
      </c>
      <c r="Y91" s="17">
        <f t="shared" si="18"/>
        <v>0</v>
      </c>
      <c r="Z91" s="17">
        <f t="shared" si="18"/>
        <v>0</v>
      </c>
      <c r="AA91" s="17">
        <f t="shared" si="18"/>
        <v>0</v>
      </c>
      <c r="AB91" s="23">
        <f t="shared" si="18"/>
        <v>28000</v>
      </c>
      <c r="AC91" s="23">
        <f t="shared" si="18"/>
        <v>79900</v>
      </c>
    </row>
    <row r="92" spans="1:29" s="3" customFormat="1" ht="12.75">
      <c r="A92" s="59"/>
      <c r="B92" s="72">
        <v>4200</v>
      </c>
      <c r="C92" s="123" t="s">
        <v>90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4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4"/>
      <c r="AC92" s="64"/>
    </row>
    <row r="93" spans="1:29" s="3" customFormat="1" ht="12.75">
      <c r="A93" s="54"/>
      <c r="B93" s="73"/>
      <c r="C93" s="128" t="s">
        <v>96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65"/>
      <c r="AC93" s="65"/>
    </row>
    <row r="94" spans="1:29" s="3" customFormat="1" ht="25.5">
      <c r="A94" s="25"/>
      <c r="B94" s="39" t="s">
        <v>64</v>
      </c>
      <c r="C94" s="121" t="str">
        <f>'detailed GEF budget BIS'!C86</f>
        <v>Computer  Hardware ( Inc. 2 Laptop, copier, serveur)</v>
      </c>
      <c r="D94" s="15">
        <f>'detailed GEF budget BIS'!G86</f>
        <v>34660.58</v>
      </c>
      <c r="E94" s="16">
        <f>D94</f>
        <v>34660.58</v>
      </c>
      <c r="F94" s="15"/>
      <c r="G94" s="15">
        <v>2000</v>
      </c>
      <c r="H94" s="15"/>
      <c r="I94" s="15"/>
      <c r="J94" s="15"/>
      <c r="K94" s="15"/>
      <c r="L94" s="15"/>
      <c r="M94" s="15"/>
      <c r="N94" s="15"/>
      <c r="O94" s="23">
        <f>SUM(E94:N94)</f>
        <v>36660.58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23">
        <f>SUM(P94:AA94)</f>
        <v>0</v>
      </c>
      <c r="AC94" s="23">
        <f>O94+AB94</f>
        <v>36660.58</v>
      </c>
    </row>
    <row r="95" spans="1:29" s="3" customFormat="1" ht="12.75">
      <c r="A95" s="25"/>
      <c r="B95" s="39" t="s">
        <v>65</v>
      </c>
      <c r="C95" s="121" t="str">
        <f>'detailed GEF budget BIS'!C87</f>
        <v>Office Equipment</v>
      </c>
      <c r="D95" s="15">
        <f>'detailed GEF budget BIS'!G87</f>
        <v>1500</v>
      </c>
      <c r="E95" s="16">
        <f>D95</f>
        <v>1500</v>
      </c>
      <c r="F95" s="15">
        <f>COUNTRIES!B126</f>
        <v>0</v>
      </c>
      <c r="G95" s="15">
        <f>COUNTRIES!C126</f>
        <v>0</v>
      </c>
      <c r="H95" s="15">
        <f>COUNTRIES!D126</f>
        <v>0</v>
      </c>
      <c r="I95" s="15">
        <f>COUNTRIES!E126</f>
        <v>0</v>
      </c>
      <c r="J95" s="15">
        <f>COUNTRIES!F126</f>
        <v>0</v>
      </c>
      <c r="K95" s="15">
        <f>COUNTRIES!G126</f>
        <v>0</v>
      </c>
      <c r="L95" s="15"/>
      <c r="M95" s="15"/>
      <c r="N95" s="15"/>
      <c r="O95" s="23">
        <f>SUM(E95:N95)</f>
        <v>1500</v>
      </c>
      <c r="P95" s="15">
        <f>COUNTRIES!J126</f>
        <v>6000</v>
      </c>
      <c r="Q95" s="15">
        <f>COUNTRIES!K126</f>
        <v>0</v>
      </c>
      <c r="R95" s="15">
        <f>COUNTRIES!L126</f>
        <v>0</v>
      </c>
      <c r="S95" s="15">
        <f>COUNTRIES!M126</f>
        <v>20200</v>
      </c>
      <c r="T95" s="15">
        <f>COUNTRIES!N126</f>
        <v>0</v>
      </c>
      <c r="U95" s="15">
        <f>COUNTRIES!O126</f>
        <v>20460</v>
      </c>
      <c r="V95" s="15"/>
      <c r="W95" s="15"/>
      <c r="X95" s="15"/>
      <c r="Y95" s="15"/>
      <c r="Z95" s="15"/>
      <c r="AA95" s="15"/>
      <c r="AB95" s="23">
        <f>SUM(P95:AA95)</f>
        <v>46660</v>
      </c>
      <c r="AC95" s="23">
        <f>O95+AB95</f>
        <v>48160</v>
      </c>
    </row>
    <row r="96" spans="1:29" s="3" customFormat="1" ht="12.75">
      <c r="A96" s="25"/>
      <c r="B96" s="39" t="s">
        <v>135</v>
      </c>
      <c r="C96" s="121" t="str">
        <f>'detailed GEF budget BIS'!C88</f>
        <v>Digital Video/Camera</v>
      </c>
      <c r="D96" s="15">
        <f>'detailed GEF budget BIS'!G88</f>
        <v>500</v>
      </c>
      <c r="E96" s="16">
        <f>D96</f>
        <v>500</v>
      </c>
      <c r="F96" s="15"/>
      <c r="G96" s="15"/>
      <c r="H96" s="15"/>
      <c r="I96" s="15"/>
      <c r="J96" s="15"/>
      <c r="K96" s="15"/>
      <c r="L96" s="15"/>
      <c r="M96" s="15"/>
      <c r="N96" s="15"/>
      <c r="O96" s="23">
        <f>SUM(E96:N96)</f>
        <v>500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23">
        <f>SUM(P96:AA96)</f>
        <v>0</v>
      </c>
      <c r="AC96" s="23">
        <f>O96+AB96</f>
        <v>500</v>
      </c>
    </row>
    <row r="97" spans="1:29" s="3" customFormat="1" ht="12.75">
      <c r="A97" s="25"/>
      <c r="B97" s="39" t="s">
        <v>428</v>
      </c>
      <c r="C97" s="121" t="str">
        <f>COUNTRIES!A25</f>
        <v>Tax rebate</v>
      </c>
      <c r="D97" s="15"/>
      <c r="E97" s="16"/>
      <c r="F97" s="15">
        <f>COUNTRIES!B127</f>
        <v>0</v>
      </c>
      <c r="G97" s="15">
        <f>COUNTRIES!C127</f>
        <v>0</v>
      </c>
      <c r="H97" s="15">
        <f>COUNTRIES!D127</f>
        <v>0</v>
      </c>
      <c r="I97" s="15">
        <f>COUNTRIES!E127</f>
        <v>0</v>
      </c>
      <c r="J97" s="15">
        <f>COUNTRIES!F127</f>
        <v>0</v>
      </c>
      <c r="K97" s="15">
        <f>COUNTRIES!G127</f>
        <v>0</v>
      </c>
      <c r="L97" s="15"/>
      <c r="M97" s="15"/>
      <c r="N97" s="15"/>
      <c r="O97" s="23">
        <f>SUM(E97:N97)</f>
        <v>0</v>
      </c>
      <c r="P97" s="15">
        <f>COUNTRIES!J127</f>
        <v>32000</v>
      </c>
      <c r="Q97" s="15">
        <f>COUNTRIES!K127</f>
        <v>0</v>
      </c>
      <c r="R97" s="15">
        <f>COUNTRIES!L127</f>
        <v>0</v>
      </c>
      <c r="S97" s="15">
        <f>COUNTRIES!M127</f>
        <v>32000</v>
      </c>
      <c r="T97" s="15">
        <f>COUNTRIES!N127</f>
        <v>0</v>
      </c>
      <c r="U97" s="15">
        <f>COUNTRIES!O127</f>
        <v>80000</v>
      </c>
      <c r="V97" s="15"/>
      <c r="W97" s="15"/>
      <c r="X97" s="15"/>
      <c r="Y97" s="15"/>
      <c r="Z97" s="15"/>
      <c r="AA97" s="15"/>
      <c r="AB97" s="23">
        <f>SUM(P97:AA97)</f>
        <v>144000</v>
      </c>
      <c r="AC97" s="23">
        <f>O97+AB97</f>
        <v>144000</v>
      </c>
    </row>
    <row r="98" spans="1:29" s="3" customFormat="1" ht="12.75">
      <c r="A98" s="25"/>
      <c r="B98" s="39" t="s">
        <v>66</v>
      </c>
      <c r="C98" s="121" t="s">
        <v>138</v>
      </c>
      <c r="D98" s="17">
        <f>SUM(D94:D96)</f>
        <v>36660.58</v>
      </c>
      <c r="E98" s="17">
        <f>SUM(E94:E97)</f>
        <v>36660.58</v>
      </c>
      <c r="F98" s="17">
        <f aca="true" t="shared" si="19" ref="F98:P98">SUM(F94:F97)</f>
        <v>0</v>
      </c>
      <c r="G98" s="17">
        <f>SUM(G94:G97)</f>
        <v>2000</v>
      </c>
      <c r="H98" s="17">
        <f>SUM(H94:H97)</f>
        <v>0</v>
      </c>
      <c r="I98" s="17">
        <f>SUM(I94:I97)</f>
        <v>0</v>
      </c>
      <c r="J98" s="17">
        <f>SUM(J94:J97)</f>
        <v>0</v>
      </c>
      <c r="K98" s="17">
        <f>SUM(K94:K97)</f>
        <v>0</v>
      </c>
      <c r="L98" s="17">
        <f t="shared" si="19"/>
        <v>0</v>
      </c>
      <c r="M98" s="17">
        <f t="shared" si="19"/>
        <v>0</v>
      </c>
      <c r="N98" s="17">
        <f t="shared" si="19"/>
        <v>0</v>
      </c>
      <c r="O98" s="17">
        <f>SUM(O94:O97)</f>
        <v>38660.58</v>
      </c>
      <c r="P98" s="17">
        <f t="shared" si="19"/>
        <v>38000</v>
      </c>
      <c r="Q98" s="17">
        <f aca="true" t="shared" si="20" ref="Q98:AC98">SUM(Q94:Q97)</f>
        <v>0</v>
      </c>
      <c r="R98" s="17">
        <f t="shared" si="20"/>
        <v>0</v>
      </c>
      <c r="S98" s="17">
        <f t="shared" si="20"/>
        <v>52200</v>
      </c>
      <c r="T98" s="17">
        <f t="shared" si="20"/>
        <v>0</v>
      </c>
      <c r="U98" s="17">
        <f t="shared" si="20"/>
        <v>100460</v>
      </c>
      <c r="V98" s="17">
        <f t="shared" si="20"/>
        <v>0</v>
      </c>
      <c r="W98" s="17">
        <f t="shared" si="20"/>
        <v>0</v>
      </c>
      <c r="X98" s="17">
        <f t="shared" si="20"/>
        <v>0</v>
      </c>
      <c r="Y98" s="17">
        <f t="shared" si="20"/>
        <v>0</v>
      </c>
      <c r="Z98" s="17">
        <f t="shared" si="20"/>
        <v>0</v>
      </c>
      <c r="AA98" s="17">
        <f t="shared" si="20"/>
        <v>0</v>
      </c>
      <c r="AB98" s="17">
        <f t="shared" si="20"/>
        <v>190660</v>
      </c>
      <c r="AC98" s="17">
        <f t="shared" si="20"/>
        <v>229320.58000000002</v>
      </c>
    </row>
    <row r="99" spans="1:29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4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4"/>
      <c r="AC99" s="64"/>
    </row>
    <row r="100" spans="1:29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65"/>
      <c r="AC100" s="65"/>
    </row>
    <row r="101" spans="1:29" s="3" customFormat="1" ht="12.75">
      <c r="A101" s="25"/>
      <c r="B101" s="39" t="s">
        <v>67</v>
      </c>
      <c r="C101" s="121" t="str">
        <f>'detailed GEF budget BIS'!C92</f>
        <v>Office Maintenance+Electricity</v>
      </c>
      <c r="D101" s="15">
        <f>'detailed GEF budget BIS'!G92</f>
        <v>6777</v>
      </c>
      <c r="E101" s="16">
        <f>D101</f>
        <v>6777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23">
        <f>SUM(E101:N101)</f>
        <v>6777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23">
        <f>SUM(P101:AA101)</f>
        <v>0</v>
      </c>
      <c r="AC101" s="23">
        <f>O101+AB101</f>
        <v>6777</v>
      </c>
    </row>
    <row r="102" spans="1:29" s="3" customFormat="1" ht="12.75">
      <c r="A102" s="25"/>
      <c r="B102" s="39" t="s">
        <v>424</v>
      </c>
      <c r="C102" s="121" t="str">
        <f>COUNTRIES!A26</f>
        <v>Utilities (water, electricity)</v>
      </c>
      <c r="D102" s="15"/>
      <c r="E102" s="16"/>
      <c r="F102" s="15">
        <f>COUNTRIES!B130</f>
        <v>0</v>
      </c>
      <c r="G102" s="15">
        <f>COUNTRIES!C130</f>
        <v>0</v>
      </c>
      <c r="H102" s="15">
        <f>COUNTRIES!D130</f>
        <v>0</v>
      </c>
      <c r="I102" s="15">
        <f>COUNTRIES!E130</f>
        <v>0</v>
      </c>
      <c r="J102" s="15">
        <f>COUNTRIES!F130</f>
        <v>0</v>
      </c>
      <c r="K102" s="15">
        <f>COUNTRIES!G130</f>
        <v>0</v>
      </c>
      <c r="L102" s="15"/>
      <c r="M102" s="15"/>
      <c r="N102" s="15"/>
      <c r="O102" s="23">
        <f>SUM(E102:N102)</f>
        <v>0</v>
      </c>
      <c r="P102" s="15">
        <f>COUNTRIES!J129</f>
        <v>8400</v>
      </c>
      <c r="Q102" s="15">
        <f>COUNTRIES!K129</f>
        <v>19038</v>
      </c>
      <c r="R102" s="15">
        <f>COUNTRIES!L129</f>
        <v>142180</v>
      </c>
      <c r="S102" s="15">
        <f>COUNTRIES!M129</f>
        <v>30000</v>
      </c>
      <c r="T102" s="15">
        <f>COUNTRIES!N129</f>
        <v>8300</v>
      </c>
      <c r="U102" s="15">
        <f>COUNTRIES!O129</f>
        <v>30000</v>
      </c>
      <c r="V102" s="15"/>
      <c r="W102" s="15"/>
      <c r="X102" s="15"/>
      <c r="Y102" s="15"/>
      <c r="Z102" s="15"/>
      <c r="AA102" s="15"/>
      <c r="AB102" s="23">
        <f>SUM(P102:AA102)</f>
        <v>237918</v>
      </c>
      <c r="AC102" s="23">
        <f>O102+AB102</f>
        <v>237918</v>
      </c>
    </row>
    <row r="103" spans="1:29" s="3" customFormat="1" ht="12.75">
      <c r="A103" s="25"/>
      <c r="B103" s="39" t="s">
        <v>425</v>
      </c>
      <c r="C103" s="121" t="s">
        <v>403</v>
      </c>
      <c r="D103" s="15"/>
      <c r="E103" s="16"/>
      <c r="F103" s="15">
        <f>COUNTRIES!B131</f>
        <v>0</v>
      </c>
      <c r="G103" s="15">
        <f>COUNTRIES!C131</f>
        <v>0</v>
      </c>
      <c r="H103" s="15">
        <f>COUNTRIES!D131</f>
        <v>0</v>
      </c>
      <c r="I103" s="15">
        <f>COUNTRIES!E131</f>
        <v>0</v>
      </c>
      <c r="J103" s="15">
        <f>COUNTRIES!F131</f>
        <v>0</v>
      </c>
      <c r="K103" s="15">
        <f>COUNTRIES!G131</f>
        <v>0</v>
      </c>
      <c r="L103" s="15"/>
      <c r="M103" s="15"/>
      <c r="N103" s="15"/>
      <c r="O103" s="23">
        <f>SUM(E103:N103)</f>
        <v>0</v>
      </c>
      <c r="P103" s="15">
        <f>COUNTRIES!J130</f>
        <v>13200</v>
      </c>
      <c r="Q103" s="15">
        <f>COUNTRIES!K130</f>
        <v>22114.95</v>
      </c>
      <c r="R103" s="15">
        <f>COUNTRIES!L130</f>
        <v>180000</v>
      </c>
      <c r="S103" s="15">
        <f>COUNTRIES!M130</f>
        <v>157200</v>
      </c>
      <c r="T103" s="15">
        <f>COUNTRIES!N130</f>
        <v>6400</v>
      </c>
      <c r="U103" s="15">
        <f>COUNTRIES!O130</f>
        <v>30000</v>
      </c>
      <c r="V103" s="15"/>
      <c r="W103" s="15"/>
      <c r="X103" s="15"/>
      <c r="Y103" s="15"/>
      <c r="Z103" s="15"/>
      <c r="AA103" s="15"/>
      <c r="AB103" s="23">
        <f>SUM(P103:AA103)</f>
        <v>408914.95</v>
      </c>
      <c r="AC103" s="23">
        <f>O103+AB103</f>
        <v>408914.95</v>
      </c>
    </row>
    <row r="104" spans="1:29" s="3" customFormat="1" ht="12.75">
      <c r="A104" s="25"/>
      <c r="B104" s="39" t="s">
        <v>68</v>
      </c>
      <c r="C104" s="121" t="s">
        <v>138</v>
      </c>
      <c r="D104" s="17">
        <f>SUM(D101:D101)</f>
        <v>6777</v>
      </c>
      <c r="E104" s="17">
        <f>SUM(E101:E103)</f>
        <v>6777</v>
      </c>
      <c r="F104" s="17">
        <f aca="true" t="shared" si="21" ref="F104:P104">SUM(F101:F103)</f>
        <v>0</v>
      </c>
      <c r="G104" s="17">
        <f>SUM(G101:G103)</f>
        <v>0</v>
      </c>
      <c r="H104" s="17">
        <f>SUM(H101:H103)</f>
        <v>0</v>
      </c>
      <c r="I104" s="17">
        <f>SUM(I101:I103)</f>
        <v>0</v>
      </c>
      <c r="J104" s="17">
        <f>SUM(J101:J103)</f>
        <v>0</v>
      </c>
      <c r="K104" s="17">
        <f>SUM(K101:K103)</f>
        <v>0</v>
      </c>
      <c r="L104" s="17">
        <f t="shared" si="21"/>
        <v>0</v>
      </c>
      <c r="M104" s="17">
        <f t="shared" si="21"/>
        <v>0</v>
      </c>
      <c r="N104" s="17">
        <f t="shared" si="21"/>
        <v>0</v>
      </c>
      <c r="O104" s="17">
        <f>SUM(O101:O103)</f>
        <v>6777</v>
      </c>
      <c r="P104" s="17">
        <f t="shared" si="21"/>
        <v>21600</v>
      </c>
      <c r="Q104" s="17">
        <f>SUM(Q101:Q103)</f>
        <v>41152.95</v>
      </c>
      <c r="R104" s="17">
        <f>SUM(R101:R103)</f>
        <v>322180</v>
      </c>
      <c r="S104" s="17">
        <f>SUM(S101:S103)</f>
        <v>187200</v>
      </c>
      <c r="T104" s="17">
        <f>SUM(T101:T103)</f>
        <v>14700</v>
      </c>
      <c r="U104" s="17">
        <f>SUM(U101:U103)</f>
        <v>60000</v>
      </c>
      <c r="V104" s="17">
        <f aca="true" t="shared" si="22" ref="V104:AC104">SUM(V101:V103)</f>
        <v>0</v>
      </c>
      <c r="W104" s="17">
        <f t="shared" si="22"/>
        <v>0</v>
      </c>
      <c r="X104" s="17">
        <f t="shared" si="22"/>
        <v>0</v>
      </c>
      <c r="Y104" s="17">
        <f t="shared" si="22"/>
        <v>0</v>
      </c>
      <c r="Z104" s="17">
        <f t="shared" si="22"/>
        <v>0</v>
      </c>
      <c r="AA104" s="17">
        <f t="shared" si="22"/>
        <v>0</v>
      </c>
      <c r="AB104" s="17">
        <f t="shared" si="22"/>
        <v>646832.95</v>
      </c>
      <c r="AC104" s="17">
        <f t="shared" si="22"/>
        <v>653609.95</v>
      </c>
    </row>
    <row r="105" spans="1:29" s="3" customFormat="1" ht="12.75">
      <c r="A105" s="35"/>
      <c r="B105" s="36">
        <v>4999</v>
      </c>
      <c r="C105" s="126" t="s">
        <v>29</v>
      </c>
      <c r="D105" s="17">
        <f aca="true" t="shared" si="23" ref="D105:AC105">+D91+D98+D104</f>
        <v>92937.58</v>
      </c>
      <c r="E105" s="17">
        <f t="shared" si="23"/>
        <v>92937.58</v>
      </c>
      <c r="F105" s="17">
        <f t="shared" si="23"/>
        <v>0</v>
      </c>
      <c r="G105" s="17">
        <f t="shared" si="23"/>
        <v>4400</v>
      </c>
      <c r="H105" s="17">
        <f t="shared" si="23"/>
        <v>0</v>
      </c>
      <c r="I105" s="17">
        <f t="shared" si="23"/>
        <v>0</v>
      </c>
      <c r="J105" s="17">
        <f t="shared" si="23"/>
        <v>0</v>
      </c>
      <c r="K105" s="17">
        <f t="shared" si="23"/>
        <v>0</v>
      </c>
      <c r="L105" s="17">
        <f t="shared" si="23"/>
        <v>0</v>
      </c>
      <c r="M105" s="17">
        <f t="shared" si="23"/>
        <v>0</v>
      </c>
      <c r="N105" s="17">
        <f t="shared" si="23"/>
        <v>0</v>
      </c>
      <c r="O105" s="23">
        <f t="shared" si="23"/>
        <v>97337.58</v>
      </c>
      <c r="P105" s="17">
        <f t="shared" si="23"/>
        <v>65600</v>
      </c>
      <c r="Q105" s="17">
        <f t="shared" si="23"/>
        <v>41152.95</v>
      </c>
      <c r="R105" s="17">
        <f t="shared" si="23"/>
        <v>322180</v>
      </c>
      <c r="S105" s="17">
        <f t="shared" si="23"/>
        <v>245400</v>
      </c>
      <c r="T105" s="17">
        <f t="shared" si="23"/>
        <v>14700</v>
      </c>
      <c r="U105" s="17">
        <f t="shared" si="23"/>
        <v>176460</v>
      </c>
      <c r="V105" s="17">
        <f t="shared" si="23"/>
        <v>0</v>
      </c>
      <c r="W105" s="17">
        <f t="shared" si="23"/>
        <v>0</v>
      </c>
      <c r="X105" s="17">
        <f t="shared" si="23"/>
        <v>0</v>
      </c>
      <c r="Y105" s="17">
        <f t="shared" si="23"/>
        <v>0</v>
      </c>
      <c r="Z105" s="17">
        <f t="shared" si="23"/>
        <v>0</v>
      </c>
      <c r="AA105" s="17">
        <f t="shared" si="23"/>
        <v>0</v>
      </c>
      <c r="AB105" s="23">
        <f t="shared" si="23"/>
        <v>865492.95</v>
      </c>
      <c r="AC105" s="23">
        <f t="shared" si="23"/>
        <v>962830.53</v>
      </c>
    </row>
    <row r="106" spans="1:29" s="3" customFormat="1" ht="12.75">
      <c r="A106" s="80">
        <v>50</v>
      </c>
      <c r="B106" s="74" t="s">
        <v>69</v>
      </c>
      <c r="C106" s="127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</row>
    <row r="107" spans="1:29" s="3" customFormat="1" ht="12.75">
      <c r="A107" s="22"/>
      <c r="B107" s="85" t="s">
        <v>70</v>
      </c>
      <c r="C107" s="118" t="s">
        <v>107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8"/>
      <c r="AC107" s="78"/>
    </row>
    <row r="108" spans="1:29" s="3" customFormat="1" ht="12.75">
      <c r="A108" s="54"/>
      <c r="B108" s="75"/>
      <c r="C108" s="119" t="s">
        <v>97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57"/>
    </row>
    <row r="109" spans="1:29" s="3" customFormat="1" ht="12.75">
      <c r="A109" s="25"/>
      <c r="B109" s="26" t="s">
        <v>71</v>
      </c>
      <c r="C109" s="121" t="str">
        <f>'detailed GEF budget BIS'!C98</f>
        <v>Rental &amp; maint. of computer equip.</v>
      </c>
      <c r="D109" s="16">
        <f>'detailed GEF budget BIS'!G98</f>
        <v>5000</v>
      </c>
      <c r="E109" s="16">
        <f>D109</f>
        <v>5000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23">
        <f>SUM(E109:N109)</f>
        <v>5000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23">
        <f>SUM(P109:AA109)</f>
        <v>0</v>
      </c>
      <c r="AC109" s="23">
        <f>O109+AB109</f>
        <v>5000</v>
      </c>
    </row>
    <row r="110" spans="1:29" s="3" customFormat="1" ht="12.75">
      <c r="A110" s="25"/>
      <c r="B110" s="26" t="s">
        <v>72</v>
      </c>
      <c r="C110" s="121" t="str">
        <f>'detailed GEF budget BIS'!C99</f>
        <v>Rental &amp; maint. of copiers</v>
      </c>
      <c r="D110" s="16">
        <f>'detailed GEF budget BIS'!G99</f>
        <v>3000</v>
      </c>
      <c r="E110" s="16">
        <f>D110</f>
        <v>3000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23">
        <f>SUM(E110:N110)</f>
        <v>3000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23">
        <f>SUM(P110:AA110)</f>
        <v>0</v>
      </c>
      <c r="AC110" s="23">
        <f>O110+AB110</f>
        <v>3000</v>
      </c>
    </row>
    <row r="111" spans="1:29" s="3" customFormat="1" ht="12.75">
      <c r="A111" s="25"/>
      <c r="B111" s="26" t="s">
        <v>73</v>
      </c>
      <c r="C111" s="121" t="str">
        <f>'detailed GEF budget BIS'!C100</f>
        <v>Repair &amp; maint. of vehicles &amp; insurance</v>
      </c>
      <c r="D111" s="16">
        <f>'detailed GEF budget BIS'!G100</f>
        <v>42000</v>
      </c>
      <c r="E111" s="16">
        <f>D111</f>
        <v>42000</v>
      </c>
      <c r="F111" s="15"/>
      <c r="G111" s="15"/>
      <c r="H111" s="15"/>
      <c r="I111" s="15"/>
      <c r="J111" s="15">
        <v>70000</v>
      </c>
      <c r="K111" s="15"/>
      <c r="L111" s="15"/>
      <c r="N111" s="15"/>
      <c r="O111" s="23">
        <f>SUM(E111:N111)</f>
        <v>112000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23">
        <f>SUM(P111:AA111)</f>
        <v>0</v>
      </c>
      <c r="AC111" s="23">
        <f>O111+AB111</f>
        <v>112000</v>
      </c>
    </row>
    <row r="112" spans="1:29" s="3" customFormat="1" ht="12.75">
      <c r="A112" s="25"/>
      <c r="B112" s="26" t="s">
        <v>74</v>
      </c>
      <c r="C112" s="121" t="str">
        <f>'detailed GEF budget BIS'!C101</f>
        <v>Rental &amp; maint. of other office equip</v>
      </c>
      <c r="D112" s="16">
        <f>'detailed GEF budget BIS'!G101</f>
        <v>1500</v>
      </c>
      <c r="E112" s="16">
        <f>D112</f>
        <v>1500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23">
        <f>SUM(E112:N112)</f>
        <v>1500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23">
        <f>SUM(P112:AA112)</f>
        <v>0</v>
      </c>
      <c r="AC112" s="23">
        <f>O112+AB112</f>
        <v>1500</v>
      </c>
    </row>
    <row r="113" spans="1:29" s="3" customFormat="1" ht="12.75">
      <c r="A113" s="25"/>
      <c r="B113" s="26" t="s">
        <v>75</v>
      </c>
      <c r="C113" s="121" t="str">
        <f>'detailed GEF budget BIS'!C102</f>
        <v>Rental of meeting rooms &amp; equip.</v>
      </c>
      <c r="D113" s="16">
        <f>'detailed GEF budget BIS'!G102</f>
        <v>0</v>
      </c>
      <c r="E113" s="16">
        <f>D113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23">
        <f>SUM(E113:N113)</f>
        <v>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23">
        <f>SUM(P113:AA113)</f>
        <v>0</v>
      </c>
      <c r="AC113" s="23">
        <f>O113+AB113</f>
        <v>0</v>
      </c>
    </row>
    <row r="114" spans="1:29" s="3" customFormat="1" ht="12.75">
      <c r="A114" s="25"/>
      <c r="B114" s="39" t="s">
        <v>76</v>
      </c>
      <c r="C114" s="121" t="s">
        <v>138</v>
      </c>
      <c r="D114" s="17">
        <f aca="true" t="shared" si="24" ref="D114:AC114">SUM(D109:D113)</f>
        <v>51500</v>
      </c>
      <c r="E114" s="17">
        <f t="shared" si="24"/>
        <v>51500</v>
      </c>
      <c r="F114" s="17">
        <f t="shared" si="24"/>
        <v>0</v>
      </c>
      <c r="G114" s="17">
        <f t="shared" si="24"/>
        <v>0</v>
      </c>
      <c r="H114" s="17">
        <f t="shared" si="24"/>
        <v>0</v>
      </c>
      <c r="I114" s="17">
        <f t="shared" si="24"/>
        <v>0</v>
      </c>
      <c r="J114" s="17">
        <f t="shared" si="24"/>
        <v>70000</v>
      </c>
      <c r="K114" s="17">
        <f t="shared" si="24"/>
        <v>0</v>
      </c>
      <c r="L114" s="17">
        <f t="shared" si="24"/>
        <v>0</v>
      </c>
      <c r="M114" s="17">
        <f t="shared" si="24"/>
        <v>0</v>
      </c>
      <c r="N114" s="17">
        <f t="shared" si="24"/>
        <v>0</v>
      </c>
      <c r="O114" s="23">
        <f t="shared" si="24"/>
        <v>121500</v>
      </c>
      <c r="P114" s="17">
        <f t="shared" si="24"/>
        <v>0</v>
      </c>
      <c r="Q114" s="17">
        <f t="shared" si="24"/>
        <v>0</v>
      </c>
      <c r="R114" s="17">
        <f t="shared" si="24"/>
        <v>0</v>
      </c>
      <c r="S114" s="17">
        <f t="shared" si="24"/>
        <v>0</v>
      </c>
      <c r="T114" s="17">
        <f t="shared" si="24"/>
        <v>0</v>
      </c>
      <c r="U114" s="17">
        <f t="shared" si="24"/>
        <v>0</v>
      </c>
      <c r="V114" s="17">
        <f t="shared" si="24"/>
        <v>0</v>
      </c>
      <c r="W114" s="17">
        <f t="shared" si="24"/>
        <v>0</v>
      </c>
      <c r="X114" s="17">
        <f t="shared" si="24"/>
        <v>0</v>
      </c>
      <c r="Y114" s="17">
        <f t="shared" si="24"/>
        <v>0</v>
      </c>
      <c r="Z114" s="17">
        <f t="shared" si="24"/>
        <v>0</v>
      </c>
      <c r="AA114" s="17">
        <f t="shared" si="24"/>
        <v>0</v>
      </c>
      <c r="AB114" s="23">
        <f t="shared" si="24"/>
        <v>0</v>
      </c>
      <c r="AC114" s="23">
        <f t="shared" si="24"/>
        <v>121500</v>
      </c>
    </row>
    <row r="115" spans="1:29" s="3" customFormat="1" ht="12.75">
      <c r="A115" s="59"/>
      <c r="B115" s="72">
        <v>5200</v>
      </c>
      <c r="C115" s="123" t="s">
        <v>129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4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4"/>
      <c r="AC115" s="64"/>
    </row>
    <row r="116" spans="1:29" s="3" customFormat="1" ht="12.75">
      <c r="A116" s="54"/>
      <c r="B116" s="73"/>
      <c r="C116" s="128" t="s">
        <v>98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5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65"/>
      <c r="AC116" s="65"/>
    </row>
    <row r="117" spans="1:29" s="3" customFormat="1" ht="63.75">
      <c r="A117" s="25"/>
      <c r="B117" s="39" t="s">
        <v>77</v>
      </c>
      <c r="C117" s="121" t="str">
        <f>'detailed GEF budget BIS'!C106</f>
        <v>Document project implementation and communicate results through publications, regional and internal reports, project newspaper  and project website including translation</v>
      </c>
      <c r="D117" s="15">
        <f>'detailed GEF budget BIS'!G106</f>
        <v>279825.2</v>
      </c>
      <c r="E117" s="16">
        <f>D117</f>
        <v>279825.2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23">
        <f>SUM(E117:N117)</f>
        <v>279825.2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23">
        <f>SUM(P117:AA117)</f>
        <v>0</v>
      </c>
      <c r="AC117" s="23">
        <f>O117+AB117</f>
        <v>279825.2</v>
      </c>
    </row>
    <row r="118" spans="1:29" s="3" customFormat="1" ht="51">
      <c r="A118" s="25"/>
      <c r="B118" s="39" t="s">
        <v>78</v>
      </c>
      <c r="C118" s="121" t="str">
        <f>'detailed GEF budget BIS'!C107</f>
        <v>Document lessons learned from the 3 demonstration projects documented and incorporate them in SAP and NAPs documents</v>
      </c>
      <c r="D118" s="15">
        <f>'detailed GEF budget BIS'!G107</f>
        <v>20000</v>
      </c>
      <c r="E118" s="16">
        <f>D118</f>
        <v>20000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23">
        <f>SUM(E118:N118)</f>
        <v>20000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23">
        <f>SUM(P118:AA118)</f>
        <v>0</v>
      </c>
      <c r="AC118" s="23">
        <f>O118+AB118</f>
        <v>20000</v>
      </c>
    </row>
    <row r="119" spans="1:29" s="3" customFormat="1" ht="12.75">
      <c r="A119" s="25"/>
      <c r="B119" s="39" t="s">
        <v>79</v>
      </c>
      <c r="C119" s="121" t="s">
        <v>138</v>
      </c>
      <c r="D119" s="17">
        <f aca="true" t="shared" si="25" ref="D119:AC119">SUM(D117:D118)</f>
        <v>299825.2</v>
      </c>
      <c r="E119" s="17">
        <f t="shared" si="25"/>
        <v>299825.2</v>
      </c>
      <c r="F119" s="17">
        <f t="shared" si="25"/>
        <v>0</v>
      </c>
      <c r="G119" s="17">
        <f t="shared" si="25"/>
        <v>0</v>
      </c>
      <c r="H119" s="17">
        <f t="shared" si="25"/>
        <v>0</v>
      </c>
      <c r="I119" s="17">
        <f t="shared" si="25"/>
        <v>0</v>
      </c>
      <c r="J119" s="17">
        <f t="shared" si="25"/>
        <v>0</v>
      </c>
      <c r="K119" s="17">
        <f t="shared" si="25"/>
        <v>0</v>
      </c>
      <c r="L119" s="17">
        <f t="shared" si="25"/>
        <v>0</v>
      </c>
      <c r="M119" s="17">
        <f t="shared" si="25"/>
        <v>0</v>
      </c>
      <c r="N119" s="17">
        <f t="shared" si="25"/>
        <v>0</v>
      </c>
      <c r="O119" s="23">
        <f t="shared" si="25"/>
        <v>299825.2</v>
      </c>
      <c r="P119" s="17">
        <f t="shared" si="25"/>
        <v>0</v>
      </c>
      <c r="Q119" s="17">
        <f t="shared" si="25"/>
        <v>0</v>
      </c>
      <c r="R119" s="17">
        <f t="shared" si="25"/>
        <v>0</v>
      </c>
      <c r="S119" s="17">
        <f t="shared" si="25"/>
        <v>0</v>
      </c>
      <c r="T119" s="17">
        <f t="shared" si="25"/>
        <v>0</v>
      </c>
      <c r="U119" s="17">
        <f t="shared" si="25"/>
        <v>0</v>
      </c>
      <c r="V119" s="17">
        <f t="shared" si="25"/>
        <v>0</v>
      </c>
      <c r="W119" s="17">
        <f t="shared" si="25"/>
        <v>0</v>
      </c>
      <c r="X119" s="17">
        <f t="shared" si="25"/>
        <v>0</v>
      </c>
      <c r="Y119" s="17">
        <f t="shared" si="25"/>
        <v>0</v>
      </c>
      <c r="Z119" s="17">
        <f t="shared" si="25"/>
        <v>0</v>
      </c>
      <c r="AA119" s="17">
        <f t="shared" si="25"/>
        <v>0</v>
      </c>
      <c r="AB119" s="23">
        <f t="shared" si="25"/>
        <v>0</v>
      </c>
      <c r="AC119" s="23">
        <f t="shared" si="25"/>
        <v>299825.2</v>
      </c>
    </row>
    <row r="120" spans="1:29" s="3" customFormat="1" ht="12.75">
      <c r="A120" s="59"/>
      <c r="B120" s="72">
        <v>5300</v>
      </c>
      <c r="C120" s="123" t="s">
        <v>124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4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4"/>
      <c r="AC120" s="64"/>
    </row>
    <row r="121" spans="1:29" s="3" customFormat="1" ht="12.75">
      <c r="A121" s="54"/>
      <c r="B121" s="73"/>
      <c r="C121" s="128" t="s">
        <v>130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5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65"/>
      <c r="AC121" s="65"/>
    </row>
    <row r="122" spans="1:29" s="3" customFormat="1" ht="12.75">
      <c r="A122" s="25"/>
      <c r="B122" s="39" t="s">
        <v>80</v>
      </c>
      <c r="C122" s="121" t="str">
        <f>'detailed GEF budget BIS'!C111</f>
        <v>Communication</v>
      </c>
      <c r="D122" s="15">
        <f>'detailed GEF budget BIS'!G111</f>
        <v>18749.29</v>
      </c>
      <c r="E122" s="16">
        <f>D122</f>
        <v>18749.29</v>
      </c>
      <c r="F122" s="15">
        <f>COUNTRIES!B132</f>
        <v>0</v>
      </c>
      <c r="G122" s="15">
        <f>COUNTRIES!C132</f>
        <v>12000</v>
      </c>
      <c r="H122" s="15">
        <f>COUNTRIES!D132</f>
        <v>0</v>
      </c>
      <c r="I122" s="15">
        <f>COUNTRIES!E132</f>
        <v>0</v>
      </c>
      <c r="J122" s="15">
        <f>COUNTRIES!F132</f>
        <v>0</v>
      </c>
      <c r="K122" s="15">
        <f>COUNTRIES!G132</f>
        <v>0</v>
      </c>
      <c r="L122" s="15"/>
      <c r="M122" s="15"/>
      <c r="N122" s="15"/>
      <c r="O122" s="23">
        <f>SUM(E122:N122)</f>
        <v>30749.29</v>
      </c>
      <c r="P122" s="15">
        <f>COUNTRIES!J132</f>
        <v>4200</v>
      </c>
      <c r="Q122" s="15">
        <f>COUNTRIES!K132</f>
        <v>0</v>
      </c>
      <c r="R122" s="15">
        <f>COUNTRIES!L132</f>
        <v>0</v>
      </c>
      <c r="S122" s="15">
        <f>COUNTRIES!M132</f>
        <v>21000</v>
      </c>
      <c r="T122" s="15">
        <f>COUNTRIES!N132</f>
        <v>0</v>
      </c>
      <c r="U122" s="15">
        <f>COUNTRIES!O132</f>
        <v>10000</v>
      </c>
      <c r="V122" s="15"/>
      <c r="W122" s="15"/>
      <c r="X122" s="15"/>
      <c r="Y122" s="15"/>
      <c r="Z122" s="15"/>
      <c r="AA122" s="15"/>
      <c r="AB122" s="23">
        <f>SUM(P122:AA122)</f>
        <v>35200</v>
      </c>
      <c r="AC122" s="23">
        <f>O122+AB122</f>
        <v>65949.29000000001</v>
      </c>
    </row>
    <row r="123" spans="1:29" s="3" customFormat="1" ht="12.75">
      <c r="A123" s="25"/>
      <c r="B123" s="39" t="s">
        <v>81</v>
      </c>
      <c r="C123" s="121" t="str">
        <f>'detailed GEF budget BIS'!C112</f>
        <v>Auditing</v>
      </c>
      <c r="D123" s="15">
        <f>'detailed GEF budget BIS'!G112</f>
        <v>60000</v>
      </c>
      <c r="E123" s="16">
        <f>D123</f>
        <v>60000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23">
        <f>SUM(E123:N123)</f>
        <v>60000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23">
        <f>SUM(P123:AA123)</f>
        <v>0</v>
      </c>
      <c r="AC123" s="23">
        <f>O123+AB123</f>
        <v>60000</v>
      </c>
    </row>
    <row r="124" spans="1:29" s="3" customFormat="1" ht="12.75">
      <c r="A124" s="25"/>
      <c r="B124" s="39" t="s">
        <v>82</v>
      </c>
      <c r="C124" s="121" t="str">
        <f>'detailed GEF budget BIS'!C113</f>
        <v> Unspecified</v>
      </c>
      <c r="D124" s="15">
        <f>'detailed GEF budget BIS'!G113</f>
        <v>14700.630000000001</v>
      </c>
      <c r="E124" s="16">
        <f>D124</f>
        <v>14700.630000000001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23">
        <f>SUM(E124:N124)</f>
        <v>14700.630000000001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23">
        <f>SUM(P124:AA124)</f>
        <v>0</v>
      </c>
      <c r="AC124" s="23">
        <f>O124+AB124</f>
        <v>14700.630000000001</v>
      </c>
    </row>
    <row r="125" spans="1:29" s="3" customFormat="1" ht="12.75">
      <c r="A125" s="25"/>
      <c r="B125" s="39" t="s">
        <v>83</v>
      </c>
      <c r="C125" s="121" t="s">
        <v>138</v>
      </c>
      <c r="D125" s="17">
        <f aca="true" t="shared" si="26" ref="D125:AC125">SUM(D122:D124)</f>
        <v>93449.92000000001</v>
      </c>
      <c r="E125" s="17">
        <f t="shared" si="26"/>
        <v>93449.92000000001</v>
      </c>
      <c r="F125" s="17">
        <f t="shared" si="26"/>
        <v>0</v>
      </c>
      <c r="G125" s="17">
        <f t="shared" si="26"/>
        <v>12000</v>
      </c>
      <c r="H125" s="17">
        <f t="shared" si="26"/>
        <v>0</v>
      </c>
      <c r="I125" s="17">
        <f t="shared" si="26"/>
        <v>0</v>
      </c>
      <c r="J125" s="17">
        <f t="shared" si="26"/>
        <v>0</v>
      </c>
      <c r="K125" s="17">
        <f t="shared" si="26"/>
        <v>0</v>
      </c>
      <c r="L125" s="17">
        <f t="shared" si="26"/>
        <v>0</v>
      </c>
      <c r="M125" s="17">
        <f t="shared" si="26"/>
        <v>0</v>
      </c>
      <c r="N125" s="17">
        <f t="shared" si="26"/>
        <v>0</v>
      </c>
      <c r="O125" s="23">
        <f t="shared" si="26"/>
        <v>105449.92000000001</v>
      </c>
      <c r="P125" s="17">
        <f t="shared" si="26"/>
        <v>4200</v>
      </c>
      <c r="Q125" s="17">
        <f t="shared" si="26"/>
        <v>0</v>
      </c>
      <c r="R125" s="17">
        <f t="shared" si="26"/>
        <v>0</v>
      </c>
      <c r="S125" s="17">
        <f t="shared" si="26"/>
        <v>21000</v>
      </c>
      <c r="T125" s="17">
        <f t="shared" si="26"/>
        <v>0</v>
      </c>
      <c r="U125" s="17">
        <f t="shared" si="26"/>
        <v>10000</v>
      </c>
      <c r="V125" s="17">
        <f t="shared" si="26"/>
        <v>0</v>
      </c>
      <c r="W125" s="17">
        <f t="shared" si="26"/>
        <v>0</v>
      </c>
      <c r="X125" s="17">
        <f t="shared" si="26"/>
        <v>0</v>
      </c>
      <c r="Y125" s="17">
        <f t="shared" si="26"/>
        <v>0</v>
      </c>
      <c r="Z125" s="17">
        <f t="shared" si="26"/>
        <v>0</v>
      </c>
      <c r="AA125" s="17">
        <f t="shared" si="26"/>
        <v>0</v>
      </c>
      <c r="AB125" s="23">
        <f t="shared" si="26"/>
        <v>35200</v>
      </c>
      <c r="AC125" s="23">
        <f t="shared" si="26"/>
        <v>140649.92</v>
      </c>
    </row>
    <row r="126" spans="1:29" s="3" customFormat="1" ht="12.75">
      <c r="A126" s="25"/>
      <c r="B126" s="41">
        <v>5400</v>
      </c>
      <c r="C126" s="125" t="s">
        <v>84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3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23"/>
      <c r="AC126" s="23"/>
    </row>
    <row r="127" spans="1:29" s="3" customFormat="1" ht="12.75">
      <c r="A127" s="25"/>
      <c r="B127" s="39" t="s">
        <v>85</v>
      </c>
      <c r="C127" s="12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3">
        <f>SUM(E127:N127)</f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23">
        <f>SUM(P127:AA127)</f>
        <v>0</v>
      </c>
      <c r="AC127" s="23">
        <f>O127+AB127</f>
        <v>0</v>
      </c>
    </row>
    <row r="128" spans="1:29" s="3" customFormat="1" ht="12.75">
      <c r="A128" s="25"/>
      <c r="B128" s="42">
        <v>5402</v>
      </c>
      <c r="C128" s="121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23">
        <f>SUM(E128:N128)</f>
        <v>0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23">
        <f>SUM(P128:AA128)</f>
        <v>0</v>
      </c>
      <c r="AC128" s="23">
        <f>O128+AB128</f>
        <v>0</v>
      </c>
    </row>
    <row r="129" spans="1:29" s="3" customFormat="1" ht="12.75">
      <c r="A129" s="25"/>
      <c r="B129" s="39" t="s">
        <v>86</v>
      </c>
      <c r="C129" s="121" t="s">
        <v>138</v>
      </c>
      <c r="D129" s="17">
        <f aca="true" t="shared" si="27" ref="D129:AC129">SUM(D127:D128)</f>
        <v>0</v>
      </c>
      <c r="E129" s="17">
        <f t="shared" si="27"/>
        <v>0</v>
      </c>
      <c r="F129" s="17">
        <f t="shared" si="27"/>
        <v>0</v>
      </c>
      <c r="G129" s="17">
        <f t="shared" si="27"/>
        <v>0</v>
      </c>
      <c r="H129" s="17">
        <f t="shared" si="27"/>
        <v>0</v>
      </c>
      <c r="I129" s="17">
        <f t="shared" si="27"/>
        <v>0</v>
      </c>
      <c r="J129" s="17">
        <f t="shared" si="27"/>
        <v>0</v>
      </c>
      <c r="K129" s="17">
        <f t="shared" si="27"/>
        <v>0</v>
      </c>
      <c r="L129" s="17">
        <f t="shared" si="27"/>
        <v>0</v>
      </c>
      <c r="M129" s="17">
        <f t="shared" si="27"/>
        <v>0</v>
      </c>
      <c r="N129" s="17">
        <f t="shared" si="27"/>
        <v>0</v>
      </c>
      <c r="O129" s="23">
        <f t="shared" si="27"/>
        <v>0</v>
      </c>
      <c r="P129" s="17">
        <f t="shared" si="27"/>
        <v>0</v>
      </c>
      <c r="Q129" s="17">
        <f t="shared" si="27"/>
        <v>0</v>
      </c>
      <c r="R129" s="17">
        <f t="shared" si="27"/>
        <v>0</v>
      </c>
      <c r="S129" s="17">
        <f t="shared" si="27"/>
        <v>0</v>
      </c>
      <c r="T129" s="17">
        <f t="shared" si="27"/>
        <v>0</v>
      </c>
      <c r="U129" s="17">
        <f t="shared" si="27"/>
        <v>0</v>
      </c>
      <c r="V129" s="17">
        <f t="shared" si="27"/>
        <v>0</v>
      </c>
      <c r="W129" s="17">
        <f t="shared" si="27"/>
        <v>0</v>
      </c>
      <c r="X129" s="17">
        <f t="shared" si="27"/>
        <v>0</v>
      </c>
      <c r="Y129" s="17">
        <f t="shared" si="27"/>
        <v>0</v>
      </c>
      <c r="Z129" s="17">
        <f t="shared" si="27"/>
        <v>0</v>
      </c>
      <c r="AA129" s="17">
        <f t="shared" si="27"/>
        <v>0</v>
      </c>
      <c r="AB129" s="23">
        <f t="shared" si="27"/>
        <v>0</v>
      </c>
      <c r="AC129" s="23">
        <f t="shared" si="27"/>
        <v>0</v>
      </c>
    </row>
    <row r="130" spans="1:29" s="3" customFormat="1" ht="12.75">
      <c r="A130" s="59"/>
      <c r="B130" s="72">
        <v>5500</v>
      </c>
      <c r="C130" s="123" t="s">
        <v>125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62"/>
    </row>
    <row r="131" spans="1:29" s="3" customFormat="1" ht="12.75">
      <c r="A131" s="54"/>
      <c r="B131" s="73"/>
      <c r="C131" s="128" t="s">
        <v>132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7"/>
      <c r="AC131" s="57"/>
    </row>
    <row r="132" spans="1:29" s="3" customFormat="1" ht="25.5">
      <c r="A132" s="25"/>
      <c r="B132" s="39" t="s">
        <v>87</v>
      </c>
      <c r="C132" s="121" t="str">
        <f>'detailed GEF budget BIS'!C121</f>
        <v>Evaluation of the implementation of the 3 demonstration projects</v>
      </c>
      <c r="D132" s="15">
        <f>'detailed GEF budget BIS'!G121</f>
        <v>45000</v>
      </c>
      <c r="E132" s="16">
        <f>D132</f>
        <v>45000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23">
        <f>SUM(E132:N132)</f>
        <v>45000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23">
        <f>SUM(P132:AA132)</f>
        <v>0</v>
      </c>
      <c r="AC132" s="23">
        <f>O132+AB132</f>
        <v>45000</v>
      </c>
    </row>
    <row r="133" spans="1:29" s="3" customFormat="1" ht="12.75">
      <c r="A133" s="25"/>
      <c r="B133" s="39" t="s">
        <v>88</v>
      </c>
      <c r="C133" s="121" t="str">
        <f>'detailed GEF budget BIS'!C122</f>
        <v>Evaluation costs (overall project)</v>
      </c>
      <c r="D133" s="15">
        <f>'detailed GEF budget BIS'!G122</f>
        <v>100000</v>
      </c>
      <c r="E133" s="16">
        <f>D133</f>
        <v>100000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23">
        <f>SUM(E133:N133)</f>
        <v>100000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3">
        <f>SUM(P133:AA133)</f>
        <v>0</v>
      </c>
      <c r="AC133" s="23">
        <f>O133+AB133</f>
        <v>100000</v>
      </c>
    </row>
    <row r="134" spans="1:29" s="3" customFormat="1" ht="12.75">
      <c r="A134" s="25"/>
      <c r="B134" s="39" t="s">
        <v>89</v>
      </c>
      <c r="C134" s="121" t="s">
        <v>138</v>
      </c>
      <c r="D134" s="17">
        <f aca="true" t="shared" si="28" ref="D134:AC134">SUM(D132:D133)</f>
        <v>145000</v>
      </c>
      <c r="E134" s="17">
        <f t="shared" si="28"/>
        <v>145000</v>
      </c>
      <c r="F134" s="17">
        <f t="shared" si="28"/>
        <v>0</v>
      </c>
      <c r="G134" s="17">
        <f t="shared" si="28"/>
        <v>0</v>
      </c>
      <c r="H134" s="17">
        <f t="shared" si="28"/>
        <v>0</v>
      </c>
      <c r="I134" s="17">
        <f t="shared" si="28"/>
        <v>0</v>
      </c>
      <c r="J134" s="17">
        <f t="shared" si="28"/>
        <v>0</v>
      </c>
      <c r="K134" s="17">
        <f t="shared" si="28"/>
        <v>0</v>
      </c>
      <c r="L134" s="17">
        <f t="shared" si="28"/>
        <v>0</v>
      </c>
      <c r="M134" s="17">
        <f t="shared" si="28"/>
        <v>0</v>
      </c>
      <c r="N134" s="17">
        <f t="shared" si="28"/>
        <v>0</v>
      </c>
      <c r="O134" s="23">
        <f t="shared" si="28"/>
        <v>145000</v>
      </c>
      <c r="P134" s="17">
        <f t="shared" si="28"/>
        <v>0</v>
      </c>
      <c r="Q134" s="17">
        <f t="shared" si="28"/>
        <v>0</v>
      </c>
      <c r="R134" s="17">
        <f t="shared" si="28"/>
        <v>0</v>
      </c>
      <c r="S134" s="17">
        <f t="shared" si="28"/>
        <v>0</v>
      </c>
      <c r="T134" s="17">
        <f t="shared" si="28"/>
        <v>0</v>
      </c>
      <c r="U134" s="17">
        <f t="shared" si="28"/>
        <v>0</v>
      </c>
      <c r="V134" s="17">
        <f t="shared" si="28"/>
        <v>0</v>
      </c>
      <c r="W134" s="17">
        <f t="shared" si="28"/>
        <v>0</v>
      </c>
      <c r="X134" s="17">
        <f t="shared" si="28"/>
        <v>0</v>
      </c>
      <c r="Y134" s="17">
        <f t="shared" si="28"/>
        <v>0</v>
      </c>
      <c r="Z134" s="17">
        <f t="shared" si="28"/>
        <v>0</v>
      </c>
      <c r="AA134" s="17">
        <f t="shared" si="28"/>
        <v>0</v>
      </c>
      <c r="AB134" s="23">
        <f t="shared" si="28"/>
        <v>0</v>
      </c>
      <c r="AC134" s="23">
        <f t="shared" si="28"/>
        <v>145000</v>
      </c>
    </row>
    <row r="135" spans="1:29" s="3" customFormat="1" ht="12.75">
      <c r="A135" s="35"/>
      <c r="B135" s="36">
        <v>5999</v>
      </c>
      <c r="C135" s="126" t="s">
        <v>29</v>
      </c>
      <c r="D135" s="17">
        <f aca="true" t="shared" si="29" ref="D135:AC135">+D114+D119+D125+D129+D134</f>
        <v>589775.12</v>
      </c>
      <c r="E135" s="17">
        <f t="shared" si="29"/>
        <v>589775.12</v>
      </c>
      <c r="F135" s="17">
        <f t="shared" si="29"/>
        <v>0</v>
      </c>
      <c r="G135" s="17">
        <f t="shared" si="29"/>
        <v>12000</v>
      </c>
      <c r="H135" s="17">
        <f t="shared" si="29"/>
        <v>0</v>
      </c>
      <c r="I135" s="17">
        <f t="shared" si="29"/>
        <v>0</v>
      </c>
      <c r="J135" s="17">
        <f t="shared" si="29"/>
        <v>70000</v>
      </c>
      <c r="K135" s="17">
        <f t="shared" si="29"/>
        <v>0</v>
      </c>
      <c r="L135" s="17">
        <f t="shared" si="29"/>
        <v>0</v>
      </c>
      <c r="M135" s="17">
        <f t="shared" si="29"/>
        <v>0</v>
      </c>
      <c r="N135" s="17">
        <f t="shared" si="29"/>
        <v>0</v>
      </c>
      <c r="O135" s="23">
        <f t="shared" si="29"/>
        <v>671775.12</v>
      </c>
      <c r="P135" s="17">
        <f t="shared" si="29"/>
        <v>4200</v>
      </c>
      <c r="Q135" s="17">
        <f t="shared" si="29"/>
        <v>0</v>
      </c>
      <c r="R135" s="17">
        <f t="shared" si="29"/>
        <v>0</v>
      </c>
      <c r="S135" s="17">
        <f t="shared" si="29"/>
        <v>21000</v>
      </c>
      <c r="T135" s="17">
        <f t="shared" si="29"/>
        <v>0</v>
      </c>
      <c r="U135" s="17">
        <f t="shared" si="29"/>
        <v>10000</v>
      </c>
      <c r="V135" s="17">
        <f t="shared" si="29"/>
        <v>0</v>
      </c>
      <c r="W135" s="17">
        <f t="shared" si="29"/>
        <v>0</v>
      </c>
      <c r="X135" s="17">
        <f t="shared" si="29"/>
        <v>0</v>
      </c>
      <c r="Y135" s="17">
        <f t="shared" si="29"/>
        <v>0</v>
      </c>
      <c r="Z135" s="17">
        <f t="shared" si="29"/>
        <v>0</v>
      </c>
      <c r="AA135" s="17">
        <f t="shared" si="29"/>
        <v>0</v>
      </c>
      <c r="AB135" s="23">
        <f t="shared" si="29"/>
        <v>35200</v>
      </c>
      <c r="AC135" s="23">
        <f t="shared" si="29"/>
        <v>706975.12</v>
      </c>
    </row>
    <row r="136" spans="1:29" s="3" customFormat="1" ht="12.75">
      <c r="A136" s="22"/>
      <c r="B136" s="19"/>
      <c r="C136" s="13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48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48"/>
      <c r="AC136" s="48"/>
    </row>
    <row r="137" spans="1:29" s="3" customFormat="1" ht="13.5" thickBot="1">
      <c r="A137" s="49"/>
      <c r="B137" s="50" t="s">
        <v>136</v>
      </c>
      <c r="C137" s="132"/>
      <c r="D137" s="24">
        <f aca="true" t="shared" si="30" ref="D137:AC137">+D45+D61+D84+D105+D135</f>
        <v>4951278.11191936</v>
      </c>
      <c r="E137" s="24">
        <f t="shared" si="30"/>
        <v>4951278.11191936</v>
      </c>
      <c r="F137" s="24">
        <f t="shared" si="30"/>
        <v>118200</v>
      </c>
      <c r="G137" s="24">
        <f t="shared" si="30"/>
        <v>88400</v>
      </c>
      <c r="H137" s="24">
        <f t="shared" si="30"/>
        <v>183000</v>
      </c>
      <c r="I137" s="24">
        <f t="shared" si="30"/>
        <v>140000</v>
      </c>
      <c r="J137" s="24">
        <f t="shared" si="30"/>
        <v>196870</v>
      </c>
      <c r="K137" s="24">
        <f t="shared" si="30"/>
        <v>45456</v>
      </c>
      <c r="L137" s="24">
        <f t="shared" si="30"/>
        <v>10000</v>
      </c>
      <c r="M137" s="24">
        <f t="shared" si="30"/>
        <v>50000</v>
      </c>
      <c r="N137" s="24">
        <f t="shared" si="30"/>
        <v>0</v>
      </c>
      <c r="O137" s="38">
        <f t="shared" si="30"/>
        <v>5653069.7291168</v>
      </c>
      <c r="P137" s="24">
        <f t="shared" si="30"/>
        <v>299700</v>
      </c>
      <c r="Q137" s="24">
        <f t="shared" si="30"/>
        <v>141152.95</v>
      </c>
      <c r="R137" s="24">
        <f t="shared" si="30"/>
        <v>732000</v>
      </c>
      <c r="S137" s="24">
        <f t="shared" si="30"/>
        <v>550000</v>
      </c>
      <c r="T137" s="24">
        <f t="shared" si="30"/>
        <v>60700</v>
      </c>
      <c r="U137" s="24">
        <f t="shared" si="30"/>
        <v>774460</v>
      </c>
      <c r="V137" s="24">
        <f t="shared" si="30"/>
        <v>0</v>
      </c>
      <c r="W137" s="24">
        <f t="shared" si="30"/>
        <v>0</v>
      </c>
      <c r="X137" s="24">
        <f t="shared" si="30"/>
        <v>0</v>
      </c>
      <c r="Y137" s="24">
        <f t="shared" si="30"/>
        <v>0</v>
      </c>
      <c r="Z137" s="24">
        <f t="shared" si="30"/>
        <v>0</v>
      </c>
      <c r="AA137" s="24">
        <f t="shared" si="30"/>
        <v>0</v>
      </c>
      <c r="AB137" s="38">
        <f t="shared" si="30"/>
        <v>2558012.95</v>
      </c>
      <c r="AC137" s="38">
        <f t="shared" si="30"/>
        <v>8211082.679116801</v>
      </c>
    </row>
    <row r="138" spans="1:29" s="3" customFormat="1" ht="13.5" thickBot="1">
      <c r="A138" s="49"/>
      <c r="B138" s="50" t="s">
        <v>280</v>
      </c>
      <c r="C138" s="113"/>
      <c r="D138" s="24">
        <f>'detailed GEF budget BIS'!G127</f>
        <v>396102.24895354884</v>
      </c>
      <c r="E138" s="24">
        <f>D138</f>
        <v>396102.24895354884</v>
      </c>
      <c r="F138" s="4">
        <v>0</v>
      </c>
      <c r="G138" s="4"/>
      <c r="H138" s="4"/>
      <c r="I138" s="4"/>
      <c r="J138" s="4"/>
      <c r="K138" s="4"/>
      <c r="L138" s="4">
        <v>0</v>
      </c>
      <c r="M138" s="4">
        <v>0</v>
      </c>
      <c r="N138" s="4">
        <v>0</v>
      </c>
      <c r="O138" s="23">
        <f>SUM(E138:N138)</f>
        <v>396102.24895354884</v>
      </c>
      <c r="P138" s="4">
        <v>0</v>
      </c>
      <c r="Q138" s="4"/>
      <c r="R138" s="4"/>
      <c r="S138" s="4"/>
      <c r="T138" s="4"/>
      <c r="U138" s="4"/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23">
        <f>SUM(P138:AA138)</f>
        <v>0</v>
      </c>
      <c r="AC138" s="23">
        <f>O138+AB138</f>
        <v>396102.24895354884</v>
      </c>
    </row>
    <row r="139" spans="1:29" s="3" customFormat="1" ht="13.5" thickBot="1">
      <c r="A139" s="49"/>
      <c r="B139" s="50" t="s">
        <v>281</v>
      </c>
      <c r="C139" s="113"/>
      <c r="D139" s="24">
        <f>'detailed GEF budget BIS'!G128</f>
        <v>5347380.360872909</v>
      </c>
      <c r="E139" s="24">
        <f aca="true" t="shared" si="31" ref="E139:AC139">E138+E137</f>
        <v>5347380.360872909</v>
      </c>
      <c r="F139" s="24">
        <f t="shared" si="31"/>
        <v>118200</v>
      </c>
      <c r="G139" s="24">
        <f t="shared" si="31"/>
        <v>88400</v>
      </c>
      <c r="H139" s="24">
        <f t="shared" si="31"/>
        <v>183000</v>
      </c>
      <c r="I139" s="24">
        <f t="shared" si="31"/>
        <v>140000</v>
      </c>
      <c r="J139" s="24">
        <f t="shared" si="31"/>
        <v>196870</v>
      </c>
      <c r="K139" s="24">
        <f t="shared" si="31"/>
        <v>45456</v>
      </c>
      <c r="L139" s="24">
        <f t="shared" si="31"/>
        <v>10000</v>
      </c>
      <c r="M139" s="24">
        <f t="shared" si="31"/>
        <v>50000</v>
      </c>
      <c r="N139" s="24">
        <f t="shared" si="31"/>
        <v>0</v>
      </c>
      <c r="O139" s="24">
        <f t="shared" si="31"/>
        <v>6049171.978070349</v>
      </c>
      <c r="P139" s="24">
        <f t="shared" si="31"/>
        <v>299700</v>
      </c>
      <c r="Q139" s="24">
        <f t="shared" si="31"/>
        <v>141152.95</v>
      </c>
      <c r="R139" s="24">
        <f t="shared" si="31"/>
        <v>732000</v>
      </c>
      <c r="S139" s="24">
        <f t="shared" si="31"/>
        <v>550000</v>
      </c>
      <c r="T139" s="24">
        <f t="shared" si="31"/>
        <v>60700</v>
      </c>
      <c r="U139" s="24">
        <f t="shared" si="31"/>
        <v>774460</v>
      </c>
      <c r="V139" s="24">
        <f t="shared" si="31"/>
        <v>0</v>
      </c>
      <c r="W139" s="24">
        <f t="shared" si="31"/>
        <v>0</v>
      </c>
      <c r="X139" s="24">
        <f t="shared" si="31"/>
        <v>0</v>
      </c>
      <c r="Y139" s="24">
        <f t="shared" si="31"/>
        <v>0</v>
      </c>
      <c r="Z139" s="24">
        <f t="shared" si="31"/>
        <v>0</v>
      </c>
      <c r="AA139" s="24">
        <f t="shared" si="31"/>
        <v>0</v>
      </c>
      <c r="AB139" s="24">
        <f t="shared" si="31"/>
        <v>2558012.95</v>
      </c>
      <c r="AC139" s="24">
        <f t="shared" si="31"/>
        <v>8607184.92807035</v>
      </c>
    </row>
    <row r="140" spans="1:29" s="3" customFormat="1" ht="12.75">
      <c r="A140" s="5"/>
      <c r="B140" s="9"/>
      <c r="C140" s="116"/>
      <c r="D140" s="2"/>
      <c r="E140" s="2"/>
      <c r="F140" s="2">
        <f>F139-COUNTRIES!B133</f>
        <v>0</v>
      </c>
      <c r="G140" s="2">
        <f>G139-COUNTRIES!C133</f>
        <v>2000</v>
      </c>
      <c r="H140" s="2">
        <f>H139-COUNTRIES!D133</f>
        <v>0</v>
      </c>
      <c r="I140" s="2">
        <f>I139-COUNTRIES!E133</f>
        <v>0</v>
      </c>
      <c r="J140" s="2">
        <f>J139-COUNTRIES!F133</f>
        <v>70000</v>
      </c>
      <c r="K140" s="2">
        <f>K139-COUNTRIES!G133</f>
        <v>0</v>
      </c>
      <c r="L140" s="2"/>
      <c r="M140" s="2"/>
      <c r="N140" s="2"/>
      <c r="O140" s="2"/>
      <c r="P140" s="2">
        <f>P139-COUNTRIES!J133</f>
        <v>0</v>
      </c>
      <c r="Q140" s="2">
        <f>Q139-COUNTRIES!K133</f>
        <v>0</v>
      </c>
      <c r="R140" s="2">
        <f>R139-COUNTRIES!L133</f>
        <v>0</v>
      </c>
      <c r="S140" s="2">
        <f>S139-COUNTRIES!M133</f>
        <v>0</v>
      </c>
      <c r="T140" s="2">
        <f>T139-COUNTRIES!N133</f>
        <v>0</v>
      </c>
      <c r="U140" s="2">
        <f>U139-COUNTRIES!O133</f>
        <v>0</v>
      </c>
      <c r="V140" s="2"/>
      <c r="W140" s="2"/>
      <c r="X140" s="2"/>
      <c r="Y140" s="2"/>
      <c r="Z140" s="2"/>
      <c r="AA140" s="2"/>
      <c r="AB140" s="2"/>
      <c r="AC140" s="2"/>
    </row>
    <row r="141" spans="1:29" s="3" customFormat="1" ht="12.75">
      <c r="A141" s="5"/>
      <c r="B141" s="9"/>
      <c r="C141" s="11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31" s="3" customFormat="1" ht="13.5" thickBot="1">
      <c r="A142" s="5"/>
      <c r="B142" s="9"/>
      <c r="C142" s="11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3" t="s">
        <v>480</v>
      </c>
    </row>
    <row r="143" spans="1:32" s="3" customFormat="1" ht="25.5">
      <c r="A143" s="90"/>
      <c r="B143" s="90"/>
      <c r="C143" s="116"/>
      <c r="D143" s="91" t="s">
        <v>4</v>
      </c>
      <c r="E143" s="91" t="s">
        <v>146</v>
      </c>
      <c r="F143" s="92" t="s">
        <v>460</v>
      </c>
      <c r="G143" s="92" t="s">
        <v>461</v>
      </c>
      <c r="H143" s="92" t="s">
        <v>462</v>
      </c>
      <c r="I143" s="92" t="s">
        <v>463</v>
      </c>
      <c r="J143" s="92" t="s">
        <v>464</v>
      </c>
      <c r="K143" s="92" t="s">
        <v>465</v>
      </c>
      <c r="L143" s="92" t="s">
        <v>338</v>
      </c>
      <c r="M143" s="92" t="s">
        <v>339</v>
      </c>
      <c r="N143" s="92" t="s">
        <v>148</v>
      </c>
      <c r="O143" s="93" t="s">
        <v>419</v>
      </c>
      <c r="P143" s="92" t="s">
        <v>460</v>
      </c>
      <c r="Q143" s="92" t="s">
        <v>461</v>
      </c>
      <c r="R143" s="92" t="s">
        <v>462</v>
      </c>
      <c r="S143" s="92" t="s">
        <v>463</v>
      </c>
      <c r="T143" s="92" t="s">
        <v>464</v>
      </c>
      <c r="U143" s="92" t="s">
        <v>465</v>
      </c>
      <c r="V143" s="92" t="s">
        <v>438</v>
      </c>
      <c r="W143" s="92" t="s">
        <v>439</v>
      </c>
      <c r="X143" s="92" t="s">
        <v>440</v>
      </c>
      <c r="Y143" s="92" t="s">
        <v>441</v>
      </c>
      <c r="Z143" s="92" t="s">
        <v>436</v>
      </c>
      <c r="AA143" s="92" t="s">
        <v>437</v>
      </c>
      <c r="AB143" s="93" t="s">
        <v>420</v>
      </c>
      <c r="AC143" s="93" t="s">
        <v>421</v>
      </c>
      <c r="AE143" s="3" t="str">
        <f>H143</f>
        <v>Cofinance   RCI</v>
      </c>
      <c r="AF143" s="3" t="str">
        <f>R143</f>
        <v>Cofinance   RCI</v>
      </c>
    </row>
    <row r="144" spans="1:32" s="3" customFormat="1" ht="13.5" thickBot="1">
      <c r="A144" s="12"/>
      <c r="B144" s="13"/>
      <c r="C144" s="116"/>
      <c r="D144" s="87"/>
      <c r="E144" s="89" t="s">
        <v>231</v>
      </c>
      <c r="F144" s="89" t="s">
        <v>231</v>
      </c>
      <c r="G144" s="89" t="s">
        <v>231</v>
      </c>
      <c r="H144" s="89" t="s">
        <v>231</v>
      </c>
      <c r="I144" s="89" t="s">
        <v>231</v>
      </c>
      <c r="J144" s="89" t="s">
        <v>231</v>
      </c>
      <c r="K144" s="89" t="s">
        <v>231</v>
      </c>
      <c r="L144" s="89" t="s">
        <v>231</v>
      </c>
      <c r="M144" s="89" t="s">
        <v>231</v>
      </c>
      <c r="N144" s="89" t="s">
        <v>143</v>
      </c>
      <c r="O144" s="88"/>
      <c r="P144" s="89" t="s">
        <v>289</v>
      </c>
      <c r="Q144" s="89" t="s">
        <v>289</v>
      </c>
      <c r="R144" s="89" t="s">
        <v>289</v>
      </c>
      <c r="S144" s="89" t="s">
        <v>289</v>
      </c>
      <c r="T144" s="89" t="s">
        <v>289</v>
      </c>
      <c r="U144" s="89" t="s">
        <v>289</v>
      </c>
      <c r="V144" s="89" t="s">
        <v>289</v>
      </c>
      <c r="W144" s="89" t="s">
        <v>289</v>
      </c>
      <c r="X144" s="89" t="s">
        <v>289</v>
      </c>
      <c r="Y144" s="89" t="s">
        <v>289</v>
      </c>
      <c r="Z144" s="89" t="s">
        <v>289</v>
      </c>
      <c r="AA144" s="89" t="s">
        <v>289</v>
      </c>
      <c r="AB144" s="88"/>
      <c r="AC144" s="88"/>
      <c r="AE144" s="3" t="str">
        <f>K144</f>
        <v>Cash</v>
      </c>
      <c r="AF144" s="3" t="str">
        <f>U144</f>
        <v>Kind</v>
      </c>
    </row>
    <row r="145" spans="1:32" s="3" customFormat="1" ht="13.5" thickBot="1">
      <c r="A145" s="288" t="s">
        <v>133</v>
      </c>
      <c r="B145" s="289"/>
      <c r="C145" s="290"/>
      <c r="D145" s="31" t="s">
        <v>5</v>
      </c>
      <c r="E145" s="32" t="s">
        <v>5</v>
      </c>
      <c r="F145" s="32" t="s">
        <v>5</v>
      </c>
      <c r="G145" s="32" t="s">
        <v>5</v>
      </c>
      <c r="H145" s="32" t="s">
        <v>5</v>
      </c>
      <c r="I145" s="32" t="s">
        <v>5</v>
      </c>
      <c r="J145" s="32" t="s">
        <v>5</v>
      </c>
      <c r="K145" s="32" t="s">
        <v>5</v>
      </c>
      <c r="L145" s="32" t="s">
        <v>5</v>
      </c>
      <c r="M145" s="32" t="s">
        <v>5</v>
      </c>
      <c r="N145" s="32" t="s">
        <v>5</v>
      </c>
      <c r="O145" s="30" t="s">
        <v>5</v>
      </c>
      <c r="P145" s="32" t="s">
        <v>5</v>
      </c>
      <c r="Q145" s="32" t="s">
        <v>5</v>
      </c>
      <c r="R145" s="32" t="s">
        <v>5</v>
      </c>
      <c r="S145" s="32" t="s">
        <v>5</v>
      </c>
      <c r="T145" s="32" t="s">
        <v>5</v>
      </c>
      <c r="U145" s="32" t="s">
        <v>5</v>
      </c>
      <c r="V145" s="32" t="s">
        <v>5</v>
      </c>
      <c r="W145" s="32" t="s">
        <v>5</v>
      </c>
      <c r="X145" s="32" t="s">
        <v>5</v>
      </c>
      <c r="Y145" s="32" t="s">
        <v>5</v>
      </c>
      <c r="Z145" s="32" t="s">
        <v>5</v>
      </c>
      <c r="AA145" s="32" t="s">
        <v>5</v>
      </c>
      <c r="AB145" s="30" t="s">
        <v>5</v>
      </c>
      <c r="AC145" s="30" t="s">
        <v>5</v>
      </c>
      <c r="AE145" s="3" t="str">
        <f>F145</f>
        <v>US$</v>
      </c>
      <c r="AF145" s="3" t="str">
        <f>P145</f>
        <v>US$</v>
      </c>
    </row>
    <row r="146" spans="1:29" s="3" customFormat="1" ht="12.75">
      <c r="A146" s="20">
        <v>10</v>
      </c>
      <c r="B146" s="21" t="s">
        <v>6</v>
      </c>
      <c r="C146" s="11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52"/>
    </row>
    <row r="147" spans="1:32" s="224" customFormat="1" ht="15">
      <c r="A147" s="25"/>
      <c r="B147" s="219" t="s">
        <v>7</v>
      </c>
      <c r="C147" s="220" t="s">
        <v>466</v>
      </c>
      <c r="D147" s="16" t="e">
        <f>SUM(#REF!)</f>
        <v>#REF!</v>
      </c>
      <c r="E147" s="16">
        <f>E19</f>
        <v>1448219.45472384</v>
      </c>
      <c r="F147" s="16">
        <f aca="true" t="shared" si="32" ref="F147:K147">F19</f>
        <v>0</v>
      </c>
      <c r="G147" s="16">
        <f t="shared" si="32"/>
        <v>0</v>
      </c>
      <c r="H147" s="16">
        <f t="shared" si="32"/>
        <v>0</v>
      </c>
      <c r="I147" s="16">
        <f t="shared" si="32"/>
        <v>0</v>
      </c>
      <c r="J147" s="16">
        <f t="shared" si="32"/>
        <v>0</v>
      </c>
      <c r="K147" s="16">
        <f t="shared" si="32"/>
        <v>0</v>
      </c>
      <c r="L147" s="16">
        <f>L19</f>
        <v>0</v>
      </c>
      <c r="M147" s="16">
        <f>M19</f>
        <v>0</v>
      </c>
      <c r="N147" s="16">
        <f>N19</f>
        <v>0</v>
      </c>
      <c r="O147" s="16">
        <f aca="true" t="shared" si="33" ref="O147:O152">SUM(E147:N147)</f>
        <v>1448219.45472384</v>
      </c>
      <c r="P147" s="16">
        <f aca="true" t="shared" si="34" ref="P147:AB147">P19</f>
        <v>43200</v>
      </c>
      <c r="Q147" s="16">
        <f t="shared" si="34"/>
        <v>100000</v>
      </c>
      <c r="R147" s="16">
        <f t="shared" si="34"/>
        <v>172000</v>
      </c>
      <c r="S147" s="16">
        <f t="shared" si="34"/>
        <v>48000</v>
      </c>
      <c r="T147" s="16">
        <f t="shared" si="34"/>
        <v>46000</v>
      </c>
      <c r="U147" s="16">
        <f t="shared" si="34"/>
        <v>80000</v>
      </c>
      <c r="V147" s="16">
        <f t="shared" si="34"/>
        <v>0</v>
      </c>
      <c r="W147" s="16">
        <f t="shared" si="34"/>
        <v>0</v>
      </c>
      <c r="X147" s="16">
        <f t="shared" si="34"/>
        <v>0</v>
      </c>
      <c r="Y147" s="16">
        <f t="shared" si="34"/>
        <v>0</v>
      </c>
      <c r="Z147" s="16">
        <f t="shared" si="34"/>
        <v>0</v>
      </c>
      <c r="AA147" s="16">
        <f t="shared" si="34"/>
        <v>0</v>
      </c>
      <c r="AB147" s="16">
        <f t="shared" si="34"/>
        <v>489200</v>
      </c>
      <c r="AC147" s="16">
        <f>AB147+O147</f>
        <v>1937419.45472384</v>
      </c>
      <c r="AE147" s="16">
        <f>H147</f>
        <v>0</v>
      </c>
      <c r="AF147" s="16">
        <f>R147</f>
        <v>172000</v>
      </c>
    </row>
    <row r="148" spans="1:32" s="224" customFormat="1" ht="15">
      <c r="A148" s="25"/>
      <c r="B148" s="221" t="s">
        <v>11</v>
      </c>
      <c r="C148" s="222" t="s">
        <v>467</v>
      </c>
      <c r="D148" s="16" t="e">
        <f>SUM(#REF!)</f>
        <v>#REF!</v>
      </c>
      <c r="E148" s="16">
        <f>E26</f>
        <v>553643.26</v>
      </c>
      <c r="F148" s="16">
        <f aca="true" t="shared" si="35" ref="F148:K148">F26</f>
        <v>54622.5</v>
      </c>
      <c r="G148" s="16">
        <f t="shared" si="35"/>
        <v>0</v>
      </c>
      <c r="H148" s="16">
        <f t="shared" si="35"/>
        <v>126000</v>
      </c>
      <c r="I148" s="16">
        <f t="shared" si="35"/>
        <v>124000</v>
      </c>
      <c r="J148" s="16">
        <f t="shared" si="35"/>
        <v>55572.5</v>
      </c>
      <c r="K148" s="16">
        <f t="shared" si="35"/>
        <v>44450</v>
      </c>
      <c r="L148" s="16">
        <f>L26</f>
        <v>10000</v>
      </c>
      <c r="M148" s="16">
        <f>M26</f>
        <v>0</v>
      </c>
      <c r="N148" s="16">
        <f>N26</f>
        <v>0</v>
      </c>
      <c r="O148" s="16">
        <f t="shared" si="33"/>
        <v>968288.26</v>
      </c>
      <c r="P148" s="16">
        <f aca="true" t="shared" si="36" ref="P148:AB148">P26</f>
        <v>69775</v>
      </c>
      <c r="Q148" s="16">
        <f t="shared" si="36"/>
        <v>0</v>
      </c>
      <c r="R148" s="16">
        <f t="shared" si="36"/>
        <v>62820</v>
      </c>
      <c r="S148" s="16">
        <f t="shared" si="36"/>
        <v>91880</v>
      </c>
      <c r="T148" s="16">
        <f t="shared" si="36"/>
        <v>0</v>
      </c>
      <c r="U148" s="16">
        <f t="shared" si="36"/>
        <v>280000</v>
      </c>
      <c r="V148" s="16">
        <f t="shared" si="36"/>
        <v>0</v>
      </c>
      <c r="W148" s="16">
        <f t="shared" si="36"/>
        <v>0</v>
      </c>
      <c r="X148" s="16">
        <f t="shared" si="36"/>
        <v>0</v>
      </c>
      <c r="Y148" s="16">
        <f t="shared" si="36"/>
        <v>0</v>
      </c>
      <c r="Z148" s="16">
        <f t="shared" si="36"/>
        <v>0</v>
      </c>
      <c r="AA148" s="16">
        <f t="shared" si="36"/>
        <v>0</v>
      </c>
      <c r="AB148" s="16">
        <f t="shared" si="36"/>
        <v>504475</v>
      </c>
      <c r="AC148" s="16">
        <f>AB148+O148</f>
        <v>1472763.26</v>
      </c>
      <c r="AE148" s="16">
        <f>H148</f>
        <v>126000</v>
      </c>
      <c r="AF148" s="16">
        <f>R148</f>
        <v>62820</v>
      </c>
    </row>
    <row r="149" spans="1:32" s="224" customFormat="1" ht="15">
      <c r="A149" s="25"/>
      <c r="B149" s="221" t="s">
        <v>16</v>
      </c>
      <c r="C149" s="222" t="s">
        <v>468</v>
      </c>
      <c r="D149" s="16" t="e">
        <f>SUM(#REF!)</f>
        <v>#REF!</v>
      </c>
      <c r="E149" s="16">
        <f>E32</f>
        <v>100300.65719552</v>
      </c>
      <c r="F149" s="16">
        <f aca="true" t="shared" si="37" ref="F149:K149">F32</f>
        <v>0</v>
      </c>
      <c r="G149" s="16">
        <f t="shared" si="37"/>
        <v>0</v>
      </c>
      <c r="H149" s="16">
        <f t="shared" si="37"/>
        <v>0</v>
      </c>
      <c r="I149" s="16">
        <f t="shared" si="37"/>
        <v>0</v>
      </c>
      <c r="J149" s="16">
        <f t="shared" si="37"/>
        <v>0</v>
      </c>
      <c r="K149" s="16">
        <f t="shared" si="37"/>
        <v>0</v>
      </c>
      <c r="L149" s="16">
        <f>L32</f>
        <v>0</v>
      </c>
      <c r="M149" s="16">
        <f>M32</f>
        <v>0</v>
      </c>
      <c r="N149" s="16">
        <f>N32</f>
        <v>0</v>
      </c>
      <c r="O149" s="16">
        <f t="shared" si="33"/>
        <v>100300.65719552</v>
      </c>
      <c r="P149" s="16">
        <f aca="true" t="shared" si="38" ref="P149:AB149">P32</f>
        <v>7200</v>
      </c>
      <c r="Q149" s="16">
        <f t="shared" si="38"/>
        <v>0</v>
      </c>
      <c r="R149" s="16">
        <f t="shared" si="38"/>
        <v>0</v>
      </c>
      <c r="S149" s="16">
        <f t="shared" si="38"/>
        <v>32160</v>
      </c>
      <c r="T149" s="16">
        <f t="shared" si="38"/>
        <v>0</v>
      </c>
      <c r="U149" s="16">
        <f t="shared" si="38"/>
        <v>15000</v>
      </c>
      <c r="V149" s="16">
        <f t="shared" si="38"/>
        <v>0</v>
      </c>
      <c r="W149" s="16">
        <f t="shared" si="38"/>
        <v>0</v>
      </c>
      <c r="X149" s="16">
        <f t="shared" si="38"/>
        <v>0</v>
      </c>
      <c r="Y149" s="16">
        <f t="shared" si="38"/>
        <v>0</v>
      </c>
      <c r="Z149" s="16">
        <f t="shared" si="38"/>
        <v>0</v>
      </c>
      <c r="AA149" s="16">
        <f t="shared" si="38"/>
        <v>0</v>
      </c>
      <c r="AB149" s="16">
        <f t="shared" si="38"/>
        <v>54360</v>
      </c>
      <c r="AC149" s="16">
        <f>AB149+O149</f>
        <v>154660.65719552</v>
      </c>
      <c r="AE149" s="16">
        <f>H149</f>
        <v>0</v>
      </c>
      <c r="AF149" s="16">
        <f>R149</f>
        <v>0</v>
      </c>
    </row>
    <row r="150" spans="1:32" s="224" customFormat="1" ht="15">
      <c r="A150" s="25"/>
      <c r="B150" s="26" t="s">
        <v>21</v>
      </c>
      <c r="C150" s="130" t="s">
        <v>469</v>
      </c>
      <c r="D150" s="16" t="e">
        <f>SUM(#REF!)</f>
        <v>#REF!</v>
      </c>
      <c r="E150" s="16">
        <f>E37</f>
        <v>0</v>
      </c>
      <c r="F150" s="16">
        <f aca="true" t="shared" si="39" ref="F150:K150">F37</f>
        <v>0</v>
      </c>
      <c r="G150" s="16">
        <f t="shared" si="39"/>
        <v>0</v>
      </c>
      <c r="H150" s="16">
        <f t="shared" si="39"/>
        <v>0</v>
      </c>
      <c r="I150" s="16">
        <f t="shared" si="39"/>
        <v>0</v>
      </c>
      <c r="J150" s="16">
        <f t="shared" si="39"/>
        <v>0</v>
      </c>
      <c r="K150" s="16">
        <f t="shared" si="39"/>
        <v>0</v>
      </c>
      <c r="L150" s="16">
        <f>L37</f>
        <v>0</v>
      </c>
      <c r="M150" s="16">
        <f>M37</f>
        <v>0</v>
      </c>
      <c r="N150" s="16">
        <f>N37</f>
        <v>0</v>
      </c>
      <c r="O150" s="16">
        <f t="shared" si="33"/>
        <v>0</v>
      </c>
      <c r="P150" s="16">
        <f aca="true" t="shared" si="40" ref="P150:AB150">P37</f>
        <v>0</v>
      </c>
      <c r="Q150" s="16">
        <f t="shared" si="40"/>
        <v>0</v>
      </c>
      <c r="R150" s="16">
        <f t="shared" si="40"/>
        <v>0</v>
      </c>
      <c r="S150" s="16">
        <f t="shared" si="40"/>
        <v>0</v>
      </c>
      <c r="T150" s="16">
        <f t="shared" si="40"/>
        <v>0</v>
      </c>
      <c r="U150" s="16">
        <f t="shared" si="40"/>
        <v>0</v>
      </c>
      <c r="V150" s="16">
        <f t="shared" si="40"/>
        <v>0</v>
      </c>
      <c r="W150" s="16">
        <f t="shared" si="40"/>
        <v>0</v>
      </c>
      <c r="X150" s="16">
        <f t="shared" si="40"/>
        <v>0</v>
      </c>
      <c r="Y150" s="16">
        <f t="shared" si="40"/>
        <v>0</v>
      </c>
      <c r="Z150" s="16">
        <f t="shared" si="40"/>
        <v>0</v>
      </c>
      <c r="AA150" s="16">
        <f t="shared" si="40"/>
        <v>0</v>
      </c>
      <c r="AB150" s="16">
        <f t="shared" si="40"/>
        <v>0</v>
      </c>
      <c r="AC150" s="16">
        <f>AB150+O150</f>
        <v>0</v>
      </c>
      <c r="AE150" s="16">
        <f>H150</f>
        <v>0</v>
      </c>
      <c r="AF150" s="16">
        <f>R150</f>
        <v>0</v>
      </c>
    </row>
    <row r="151" spans="1:32" s="224" customFormat="1" ht="15">
      <c r="A151" s="25"/>
      <c r="B151" s="26" t="s">
        <v>25</v>
      </c>
      <c r="C151" s="130" t="s">
        <v>470</v>
      </c>
      <c r="D151" s="16" t="e">
        <f>SUM(#REF!)</f>
        <v>#REF!</v>
      </c>
      <c r="E151" s="16">
        <f>E44</f>
        <v>266898</v>
      </c>
      <c r="F151" s="16">
        <f aca="true" t="shared" si="41" ref="F151:K151">F44</f>
        <v>0</v>
      </c>
      <c r="G151" s="16">
        <f t="shared" si="41"/>
        <v>20000</v>
      </c>
      <c r="H151" s="16">
        <f t="shared" si="41"/>
        <v>0</v>
      </c>
      <c r="I151" s="16">
        <f t="shared" si="41"/>
        <v>0</v>
      </c>
      <c r="J151" s="16">
        <f t="shared" si="41"/>
        <v>0</v>
      </c>
      <c r="K151" s="16">
        <f t="shared" si="41"/>
        <v>0</v>
      </c>
      <c r="L151" s="16">
        <f>L44</f>
        <v>0</v>
      </c>
      <c r="M151" s="16">
        <f>M44</f>
        <v>0</v>
      </c>
      <c r="N151" s="16">
        <f>N44</f>
        <v>0</v>
      </c>
      <c r="O151" s="16">
        <f t="shared" si="33"/>
        <v>286898</v>
      </c>
      <c r="P151" s="16">
        <f aca="true" t="shared" si="42" ref="P151:AB151">P44</f>
        <v>16500</v>
      </c>
      <c r="Q151" s="16">
        <f t="shared" si="42"/>
        <v>0</v>
      </c>
      <c r="R151" s="16">
        <f t="shared" si="42"/>
        <v>0</v>
      </c>
      <c r="S151" s="16">
        <f t="shared" si="42"/>
        <v>17000</v>
      </c>
      <c r="T151" s="16">
        <f t="shared" si="42"/>
        <v>0</v>
      </c>
      <c r="U151" s="16">
        <f t="shared" si="42"/>
        <v>40000</v>
      </c>
      <c r="V151" s="16">
        <f t="shared" si="42"/>
        <v>0</v>
      </c>
      <c r="W151" s="16">
        <f t="shared" si="42"/>
        <v>0</v>
      </c>
      <c r="X151" s="16">
        <f t="shared" si="42"/>
        <v>0</v>
      </c>
      <c r="Y151" s="16">
        <f t="shared" si="42"/>
        <v>0</v>
      </c>
      <c r="Z151" s="16">
        <f t="shared" si="42"/>
        <v>0</v>
      </c>
      <c r="AA151" s="16">
        <f t="shared" si="42"/>
        <v>0</v>
      </c>
      <c r="AB151" s="16">
        <f t="shared" si="42"/>
        <v>73500</v>
      </c>
      <c r="AC151" s="16">
        <f>AB151+O151</f>
        <v>360398</v>
      </c>
      <c r="AE151" s="16">
        <f>H151</f>
        <v>0</v>
      </c>
      <c r="AF151" s="16">
        <f>R151</f>
        <v>0</v>
      </c>
    </row>
    <row r="152" spans="1:32" ht="15">
      <c r="A152" s="35"/>
      <c r="B152" s="36">
        <v>1999</v>
      </c>
      <c r="C152" s="126" t="s">
        <v>29</v>
      </c>
      <c r="D152" s="17" t="e">
        <f>+D147+D148+D149+D150+D151</f>
        <v>#REF!</v>
      </c>
      <c r="E152" s="17">
        <f>+E147+E148+E149+E150+E151</f>
        <v>2369061.37191936</v>
      </c>
      <c r="F152" s="17">
        <f aca="true" t="shared" si="43" ref="F152:K152">+F147+F148+F149+F150+F151</f>
        <v>54622.5</v>
      </c>
      <c r="G152" s="17">
        <f t="shared" si="43"/>
        <v>20000</v>
      </c>
      <c r="H152" s="17">
        <f t="shared" si="43"/>
        <v>126000</v>
      </c>
      <c r="I152" s="17">
        <f t="shared" si="43"/>
        <v>124000</v>
      </c>
      <c r="J152" s="17">
        <f t="shared" si="43"/>
        <v>55572.5</v>
      </c>
      <c r="K152" s="17">
        <f t="shared" si="43"/>
        <v>44450</v>
      </c>
      <c r="L152" s="17">
        <f>+L147+L148+L149+L150+L151</f>
        <v>10000</v>
      </c>
      <c r="M152" s="17">
        <f>+M147+M148+M149+M150+M151</f>
        <v>0</v>
      </c>
      <c r="N152" s="17">
        <f>+N147+N148+N149+N150+N151</f>
        <v>0</v>
      </c>
      <c r="O152" s="17">
        <f t="shared" si="33"/>
        <v>2803706.37191936</v>
      </c>
      <c r="P152" s="17">
        <f aca="true" t="shared" si="44" ref="P152:AC152">+P147+P148+P149+P150+P151</f>
        <v>136675</v>
      </c>
      <c r="Q152" s="17">
        <f t="shared" si="44"/>
        <v>100000</v>
      </c>
      <c r="R152" s="17">
        <f t="shared" si="44"/>
        <v>234820</v>
      </c>
      <c r="S152" s="17">
        <f t="shared" si="44"/>
        <v>189040</v>
      </c>
      <c r="T152" s="17">
        <f t="shared" si="44"/>
        <v>46000</v>
      </c>
      <c r="U152" s="17">
        <f t="shared" si="44"/>
        <v>415000</v>
      </c>
      <c r="V152" s="17">
        <f t="shared" si="44"/>
        <v>0</v>
      </c>
      <c r="W152" s="17">
        <f t="shared" si="44"/>
        <v>0</v>
      </c>
      <c r="X152" s="17">
        <f t="shared" si="44"/>
        <v>0</v>
      </c>
      <c r="Y152" s="17">
        <f t="shared" si="44"/>
        <v>0</v>
      </c>
      <c r="Z152" s="17">
        <f t="shared" si="44"/>
        <v>0</v>
      </c>
      <c r="AA152" s="17">
        <f t="shared" si="44"/>
        <v>0</v>
      </c>
      <c r="AB152" s="17">
        <f t="shared" si="44"/>
        <v>1121535</v>
      </c>
      <c r="AC152" s="23">
        <f t="shared" si="44"/>
        <v>3925241.3719193605</v>
      </c>
      <c r="AE152" s="17">
        <f>+AE147+AE148+AE149+AE150+AE151</f>
        <v>126000</v>
      </c>
      <c r="AF152" s="17">
        <f>+AF147+AF148+AF149+AF150+AF151</f>
        <v>234820</v>
      </c>
    </row>
    <row r="153" spans="1:32" ht="15">
      <c r="A153" s="80">
        <v>20</v>
      </c>
      <c r="B153" s="74" t="s">
        <v>104</v>
      </c>
      <c r="C153" s="127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17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/>
      <c r="AC153" s="62"/>
      <c r="AE153" s="61"/>
      <c r="AF153" s="61"/>
    </row>
    <row r="154" spans="1:32" s="224" customFormat="1" ht="25.5">
      <c r="A154" s="25"/>
      <c r="B154" s="219" t="s">
        <v>30</v>
      </c>
      <c r="C154" s="222" t="s">
        <v>471</v>
      </c>
      <c r="D154" s="16" t="e">
        <f>SUM(#REF!)</f>
        <v>#REF!</v>
      </c>
      <c r="E154" s="16">
        <f>E50</f>
        <v>0</v>
      </c>
      <c r="F154" s="16">
        <f aca="true" t="shared" si="45" ref="F154:AC154">F50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16">
        <f t="shared" si="45"/>
        <v>0</v>
      </c>
      <c r="K154" s="16">
        <f t="shared" si="45"/>
        <v>0</v>
      </c>
      <c r="L154" s="16">
        <f t="shared" si="45"/>
        <v>0</v>
      </c>
      <c r="M154" s="16">
        <f t="shared" si="45"/>
        <v>0</v>
      </c>
      <c r="N154" s="16">
        <f t="shared" si="45"/>
        <v>0</v>
      </c>
      <c r="O154" s="16">
        <f t="shared" si="45"/>
        <v>0</v>
      </c>
      <c r="P154" s="16">
        <f t="shared" si="45"/>
        <v>0</v>
      </c>
      <c r="Q154" s="16">
        <f t="shared" si="45"/>
        <v>0</v>
      </c>
      <c r="R154" s="16">
        <f t="shared" si="45"/>
        <v>0</v>
      </c>
      <c r="S154" s="16">
        <f t="shared" si="45"/>
        <v>0</v>
      </c>
      <c r="T154" s="16">
        <f t="shared" si="45"/>
        <v>0</v>
      </c>
      <c r="U154" s="16">
        <f t="shared" si="45"/>
        <v>0</v>
      </c>
      <c r="V154" s="16">
        <f t="shared" si="45"/>
        <v>0</v>
      </c>
      <c r="W154" s="16">
        <f t="shared" si="45"/>
        <v>0</v>
      </c>
      <c r="X154" s="16">
        <f t="shared" si="45"/>
        <v>0</v>
      </c>
      <c r="Y154" s="16">
        <f t="shared" si="45"/>
        <v>0</v>
      </c>
      <c r="Z154" s="16">
        <f t="shared" si="45"/>
        <v>0</v>
      </c>
      <c r="AA154" s="16">
        <f t="shared" si="45"/>
        <v>0</v>
      </c>
      <c r="AB154" s="16">
        <f t="shared" si="45"/>
        <v>0</v>
      </c>
      <c r="AC154" s="16">
        <f t="shared" si="45"/>
        <v>0</v>
      </c>
      <c r="AE154" s="16">
        <f>H154</f>
        <v>0</v>
      </c>
      <c r="AF154" s="16">
        <f>R154</f>
        <v>0</v>
      </c>
    </row>
    <row r="155" spans="1:32" s="224" customFormat="1" ht="25.5">
      <c r="A155" s="25"/>
      <c r="B155" s="221" t="s">
        <v>33</v>
      </c>
      <c r="C155" s="222" t="s">
        <v>472</v>
      </c>
      <c r="D155" s="16" t="e">
        <f>SUM(#REF!)</f>
        <v>#REF!</v>
      </c>
      <c r="E155" s="16">
        <f>E55</f>
        <v>951386</v>
      </c>
      <c r="F155" s="16">
        <f aca="true" t="shared" si="46" ref="F155:AC155">F55</f>
        <v>0</v>
      </c>
      <c r="G155" s="16">
        <f t="shared" si="46"/>
        <v>0</v>
      </c>
      <c r="H155" s="16">
        <f t="shared" si="46"/>
        <v>0</v>
      </c>
      <c r="I155" s="16">
        <f t="shared" si="46"/>
        <v>0</v>
      </c>
      <c r="J155" s="16">
        <f t="shared" si="46"/>
        <v>0</v>
      </c>
      <c r="K155" s="16">
        <f t="shared" si="46"/>
        <v>0</v>
      </c>
      <c r="L155" s="16">
        <f t="shared" si="46"/>
        <v>0</v>
      </c>
      <c r="M155" s="16">
        <f t="shared" si="46"/>
        <v>0</v>
      </c>
      <c r="N155" s="16">
        <f t="shared" si="46"/>
        <v>0</v>
      </c>
      <c r="O155" s="16">
        <f t="shared" si="46"/>
        <v>951386</v>
      </c>
      <c r="P155" s="16">
        <f t="shared" si="46"/>
        <v>0</v>
      </c>
      <c r="Q155" s="16">
        <f t="shared" si="46"/>
        <v>0</v>
      </c>
      <c r="R155" s="16">
        <f t="shared" si="46"/>
        <v>0</v>
      </c>
      <c r="S155" s="16">
        <f t="shared" si="46"/>
        <v>0</v>
      </c>
      <c r="T155" s="16">
        <f t="shared" si="46"/>
        <v>0</v>
      </c>
      <c r="U155" s="16">
        <f t="shared" si="46"/>
        <v>0</v>
      </c>
      <c r="V155" s="16">
        <f t="shared" si="46"/>
        <v>0</v>
      </c>
      <c r="W155" s="16">
        <f t="shared" si="46"/>
        <v>0</v>
      </c>
      <c r="X155" s="16">
        <f t="shared" si="46"/>
        <v>0</v>
      </c>
      <c r="Y155" s="16">
        <f t="shared" si="46"/>
        <v>0</v>
      </c>
      <c r="Z155" s="16">
        <f t="shared" si="46"/>
        <v>0</v>
      </c>
      <c r="AA155" s="16">
        <f t="shared" si="46"/>
        <v>0</v>
      </c>
      <c r="AB155" s="16">
        <f t="shared" si="46"/>
        <v>0</v>
      </c>
      <c r="AC155" s="16">
        <f t="shared" si="46"/>
        <v>951386</v>
      </c>
      <c r="AE155" s="16">
        <f>H155</f>
        <v>0</v>
      </c>
      <c r="AF155" s="16">
        <f>R155</f>
        <v>0</v>
      </c>
    </row>
    <row r="156" spans="1:32" s="224" customFormat="1" ht="15">
      <c r="A156" s="25"/>
      <c r="B156" s="26" t="s">
        <v>42</v>
      </c>
      <c r="C156" s="130" t="s">
        <v>126</v>
      </c>
      <c r="D156" s="16" t="e">
        <f>SUM(#REF!)</f>
        <v>#REF!</v>
      </c>
      <c r="E156" s="16">
        <f>E60</f>
        <v>0</v>
      </c>
      <c r="F156" s="16">
        <f aca="true" t="shared" si="47" ref="F156:AC156">F60</f>
        <v>0</v>
      </c>
      <c r="G156" s="16">
        <f t="shared" si="47"/>
        <v>0</v>
      </c>
      <c r="H156" s="16">
        <f t="shared" si="47"/>
        <v>0</v>
      </c>
      <c r="I156" s="16">
        <f t="shared" si="47"/>
        <v>0</v>
      </c>
      <c r="J156" s="16">
        <f t="shared" si="47"/>
        <v>0</v>
      </c>
      <c r="K156" s="16">
        <f t="shared" si="47"/>
        <v>0</v>
      </c>
      <c r="L156" s="16">
        <f t="shared" si="47"/>
        <v>0</v>
      </c>
      <c r="M156" s="16">
        <f t="shared" si="47"/>
        <v>0</v>
      </c>
      <c r="N156" s="16">
        <f t="shared" si="47"/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 t="shared" si="47"/>
        <v>0</v>
      </c>
      <c r="S156" s="16">
        <f t="shared" si="47"/>
        <v>0</v>
      </c>
      <c r="T156" s="16">
        <f t="shared" si="47"/>
        <v>0</v>
      </c>
      <c r="U156" s="16">
        <f t="shared" si="47"/>
        <v>0</v>
      </c>
      <c r="V156" s="16">
        <f t="shared" si="47"/>
        <v>0</v>
      </c>
      <c r="W156" s="16">
        <f t="shared" si="47"/>
        <v>0</v>
      </c>
      <c r="X156" s="16">
        <f t="shared" si="47"/>
        <v>0</v>
      </c>
      <c r="Y156" s="16">
        <f t="shared" si="47"/>
        <v>0</v>
      </c>
      <c r="Z156" s="16">
        <f t="shared" si="47"/>
        <v>0</v>
      </c>
      <c r="AA156" s="16">
        <f t="shared" si="47"/>
        <v>0</v>
      </c>
      <c r="AB156" s="16">
        <f t="shared" si="47"/>
        <v>0</v>
      </c>
      <c r="AC156" s="16">
        <f t="shared" si="47"/>
        <v>0</v>
      </c>
      <c r="AE156" s="16">
        <f>H156</f>
        <v>0</v>
      </c>
      <c r="AF156" s="16">
        <f>R156</f>
        <v>0</v>
      </c>
    </row>
    <row r="157" spans="1:32" ht="15">
      <c r="A157" s="35"/>
      <c r="B157" s="36">
        <v>2999</v>
      </c>
      <c r="C157" s="126" t="s">
        <v>29</v>
      </c>
      <c r="D157" s="17" t="e">
        <f>+D154+D155+D156</f>
        <v>#REF!</v>
      </c>
      <c r="E157" s="17">
        <f>+E154+E155+E156</f>
        <v>951386</v>
      </c>
      <c r="F157" s="17">
        <f aca="true" t="shared" si="48" ref="F157:AC157">+F154+F155+F156</f>
        <v>0</v>
      </c>
      <c r="G157" s="17">
        <f t="shared" si="48"/>
        <v>0</v>
      </c>
      <c r="H157" s="17">
        <f t="shared" si="48"/>
        <v>0</v>
      </c>
      <c r="I157" s="17">
        <f t="shared" si="48"/>
        <v>0</v>
      </c>
      <c r="J157" s="17">
        <f t="shared" si="48"/>
        <v>0</v>
      </c>
      <c r="K157" s="17">
        <f t="shared" si="48"/>
        <v>0</v>
      </c>
      <c r="L157" s="17">
        <f t="shared" si="48"/>
        <v>0</v>
      </c>
      <c r="M157" s="17">
        <f t="shared" si="48"/>
        <v>0</v>
      </c>
      <c r="N157" s="17">
        <f t="shared" si="48"/>
        <v>0</v>
      </c>
      <c r="O157" s="17">
        <f t="shared" si="48"/>
        <v>951386</v>
      </c>
      <c r="P157" s="17">
        <f t="shared" si="48"/>
        <v>0</v>
      </c>
      <c r="Q157" s="17">
        <f t="shared" si="48"/>
        <v>0</v>
      </c>
      <c r="R157" s="17">
        <f t="shared" si="48"/>
        <v>0</v>
      </c>
      <c r="S157" s="17">
        <f t="shared" si="48"/>
        <v>0</v>
      </c>
      <c r="T157" s="17">
        <f t="shared" si="48"/>
        <v>0</v>
      </c>
      <c r="U157" s="17">
        <f t="shared" si="48"/>
        <v>0</v>
      </c>
      <c r="V157" s="17">
        <f t="shared" si="48"/>
        <v>0</v>
      </c>
      <c r="W157" s="17">
        <f t="shared" si="48"/>
        <v>0</v>
      </c>
      <c r="X157" s="17">
        <f t="shared" si="48"/>
        <v>0</v>
      </c>
      <c r="Y157" s="17">
        <f t="shared" si="48"/>
        <v>0</v>
      </c>
      <c r="Z157" s="17">
        <f t="shared" si="48"/>
        <v>0</v>
      </c>
      <c r="AA157" s="17">
        <f t="shared" si="48"/>
        <v>0</v>
      </c>
      <c r="AB157" s="17">
        <f t="shared" si="48"/>
        <v>0</v>
      </c>
      <c r="AC157" s="17">
        <f t="shared" si="48"/>
        <v>951386</v>
      </c>
      <c r="AE157" s="17">
        <f>+AE154+AE155+AE156</f>
        <v>0</v>
      </c>
      <c r="AF157" s="17">
        <f>+AF154+AF155+AF156</f>
        <v>0</v>
      </c>
    </row>
    <row r="158" spans="1:32" ht="15">
      <c r="A158" s="84">
        <v>30</v>
      </c>
      <c r="B158" s="85" t="s">
        <v>43</v>
      </c>
      <c r="C158" s="12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8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8"/>
      <c r="AC158" s="78"/>
      <c r="AE158" s="77"/>
      <c r="AF158" s="77"/>
    </row>
    <row r="159" spans="1:32" s="224" customFormat="1" ht="15">
      <c r="A159" s="25"/>
      <c r="B159" s="219" t="s">
        <v>44</v>
      </c>
      <c r="C159" s="220" t="s">
        <v>475</v>
      </c>
      <c r="D159" s="16" t="e">
        <f>SUM(#REF!)</f>
        <v>#REF!</v>
      </c>
      <c r="E159" s="16">
        <f>E68</f>
        <v>0</v>
      </c>
      <c r="F159" s="16">
        <f aca="true" t="shared" si="49" ref="F159:AC159">F68</f>
        <v>0</v>
      </c>
      <c r="G159" s="16">
        <f t="shared" si="49"/>
        <v>0</v>
      </c>
      <c r="H159" s="16">
        <f t="shared" si="49"/>
        <v>0</v>
      </c>
      <c r="I159" s="16">
        <f t="shared" si="49"/>
        <v>0</v>
      </c>
      <c r="J159" s="16">
        <f t="shared" si="49"/>
        <v>0</v>
      </c>
      <c r="K159" s="16">
        <f t="shared" si="49"/>
        <v>0</v>
      </c>
      <c r="L159" s="16">
        <f t="shared" si="49"/>
        <v>0</v>
      </c>
      <c r="M159" s="16">
        <f t="shared" si="49"/>
        <v>0</v>
      </c>
      <c r="N159" s="16">
        <f t="shared" si="49"/>
        <v>0</v>
      </c>
      <c r="O159" s="16">
        <f t="shared" si="49"/>
        <v>0</v>
      </c>
      <c r="P159" s="16">
        <f t="shared" si="49"/>
        <v>0</v>
      </c>
      <c r="Q159" s="16">
        <f t="shared" si="49"/>
        <v>0</v>
      </c>
      <c r="R159" s="16">
        <f t="shared" si="49"/>
        <v>0</v>
      </c>
      <c r="S159" s="16">
        <f t="shared" si="49"/>
        <v>0</v>
      </c>
      <c r="T159" s="16">
        <f t="shared" si="49"/>
        <v>0</v>
      </c>
      <c r="U159" s="16">
        <f t="shared" si="49"/>
        <v>0</v>
      </c>
      <c r="V159" s="16">
        <f t="shared" si="49"/>
        <v>0</v>
      </c>
      <c r="W159" s="16">
        <f t="shared" si="49"/>
        <v>0</v>
      </c>
      <c r="X159" s="16">
        <f t="shared" si="49"/>
        <v>0</v>
      </c>
      <c r="Y159" s="16">
        <f t="shared" si="49"/>
        <v>0</v>
      </c>
      <c r="Z159" s="16">
        <f t="shared" si="49"/>
        <v>0</v>
      </c>
      <c r="AA159" s="16">
        <f t="shared" si="49"/>
        <v>0</v>
      </c>
      <c r="AB159" s="16">
        <f t="shared" si="49"/>
        <v>0</v>
      </c>
      <c r="AC159" s="16">
        <f t="shared" si="49"/>
        <v>0</v>
      </c>
      <c r="AE159" s="16">
        <f>H159</f>
        <v>0</v>
      </c>
      <c r="AF159" s="16">
        <f>R159</f>
        <v>0</v>
      </c>
    </row>
    <row r="160" spans="1:32" s="224" customFormat="1" ht="15">
      <c r="A160" s="25"/>
      <c r="B160" s="221" t="s">
        <v>48</v>
      </c>
      <c r="C160" s="222" t="s">
        <v>474</v>
      </c>
      <c r="D160" s="16" t="e">
        <f>SUM(#REF!)</f>
        <v>#REF!</v>
      </c>
      <c r="E160" s="16">
        <f>E75</f>
        <v>283118.04</v>
      </c>
      <c r="F160" s="16">
        <f aca="true" t="shared" si="50" ref="F160:AC160">F75</f>
        <v>23940</v>
      </c>
      <c r="G160" s="16">
        <f t="shared" si="50"/>
        <v>15000</v>
      </c>
      <c r="H160" s="16">
        <f t="shared" si="50"/>
        <v>57000</v>
      </c>
      <c r="I160" s="16">
        <f t="shared" si="50"/>
        <v>4140</v>
      </c>
      <c r="J160" s="16">
        <f t="shared" si="50"/>
        <v>23940</v>
      </c>
      <c r="K160" s="16">
        <f t="shared" si="50"/>
        <v>0</v>
      </c>
      <c r="L160" s="16">
        <f t="shared" si="50"/>
        <v>0</v>
      </c>
      <c r="M160" s="16">
        <f t="shared" si="50"/>
        <v>0</v>
      </c>
      <c r="N160" s="16">
        <f t="shared" si="50"/>
        <v>0</v>
      </c>
      <c r="O160" s="16">
        <f t="shared" si="50"/>
        <v>325138.04</v>
      </c>
      <c r="P160" s="16">
        <f t="shared" si="50"/>
        <v>39000</v>
      </c>
      <c r="Q160" s="16">
        <f t="shared" si="50"/>
        <v>0</v>
      </c>
      <c r="R160" s="16">
        <f t="shared" si="50"/>
        <v>0</v>
      </c>
      <c r="S160" s="16">
        <f t="shared" si="50"/>
        <v>44000</v>
      </c>
      <c r="T160" s="16">
        <f t="shared" si="50"/>
        <v>0</v>
      </c>
      <c r="U160" s="16">
        <f t="shared" si="50"/>
        <v>90000</v>
      </c>
      <c r="V160" s="16">
        <f t="shared" si="50"/>
        <v>0</v>
      </c>
      <c r="W160" s="16">
        <f t="shared" si="50"/>
        <v>0</v>
      </c>
      <c r="X160" s="16">
        <f t="shared" si="50"/>
        <v>0</v>
      </c>
      <c r="Y160" s="16">
        <f t="shared" si="50"/>
        <v>0</v>
      </c>
      <c r="Z160" s="16">
        <f t="shared" si="50"/>
        <v>0</v>
      </c>
      <c r="AA160" s="16">
        <f t="shared" si="50"/>
        <v>0</v>
      </c>
      <c r="AB160" s="16">
        <f t="shared" si="50"/>
        <v>173000</v>
      </c>
      <c r="AC160" s="16">
        <f t="shared" si="50"/>
        <v>498138.04</v>
      </c>
      <c r="AE160" s="16">
        <f>H160</f>
        <v>57000</v>
      </c>
      <c r="AF160" s="16">
        <f>R160</f>
        <v>0</v>
      </c>
    </row>
    <row r="161" spans="1:32" s="224" customFormat="1" ht="15">
      <c r="A161" s="25"/>
      <c r="B161" s="26" t="s">
        <v>51</v>
      </c>
      <c r="C161" s="130" t="s">
        <v>473</v>
      </c>
      <c r="D161" s="16" t="e">
        <f>SUM(#REF!)</f>
        <v>#REF!</v>
      </c>
      <c r="E161" s="16">
        <f>E83</f>
        <v>665000</v>
      </c>
      <c r="F161" s="16">
        <f aca="true" t="shared" si="51" ref="F161:AC161">F83</f>
        <v>39637.5</v>
      </c>
      <c r="G161" s="16">
        <f t="shared" si="51"/>
        <v>37000</v>
      </c>
      <c r="H161" s="16">
        <f t="shared" si="51"/>
        <v>0</v>
      </c>
      <c r="I161" s="16">
        <f t="shared" si="51"/>
        <v>11860</v>
      </c>
      <c r="J161" s="16">
        <f t="shared" si="51"/>
        <v>47357.5</v>
      </c>
      <c r="K161" s="16">
        <f t="shared" si="51"/>
        <v>1006</v>
      </c>
      <c r="L161" s="16">
        <f t="shared" si="51"/>
        <v>0</v>
      </c>
      <c r="M161" s="16">
        <f t="shared" si="51"/>
        <v>50000</v>
      </c>
      <c r="N161" s="16">
        <f t="shared" si="51"/>
        <v>0</v>
      </c>
      <c r="O161" s="16">
        <f t="shared" si="51"/>
        <v>851861</v>
      </c>
      <c r="P161" s="16">
        <f t="shared" si="51"/>
        <v>54225</v>
      </c>
      <c r="Q161" s="16">
        <f t="shared" si="51"/>
        <v>0</v>
      </c>
      <c r="R161" s="16">
        <f t="shared" si="51"/>
        <v>175000</v>
      </c>
      <c r="S161" s="16">
        <f t="shared" si="51"/>
        <v>50560</v>
      </c>
      <c r="T161" s="16">
        <f t="shared" si="51"/>
        <v>0</v>
      </c>
      <c r="U161" s="16">
        <f t="shared" si="51"/>
        <v>83000</v>
      </c>
      <c r="V161" s="16">
        <f t="shared" si="51"/>
        <v>0</v>
      </c>
      <c r="W161" s="16">
        <f t="shared" si="51"/>
        <v>0</v>
      </c>
      <c r="X161" s="16">
        <f t="shared" si="51"/>
        <v>0</v>
      </c>
      <c r="Y161" s="16">
        <f t="shared" si="51"/>
        <v>0</v>
      </c>
      <c r="Z161" s="16">
        <f t="shared" si="51"/>
        <v>0</v>
      </c>
      <c r="AA161" s="16">
        <f t="shared" si="51"/>
        <v>0</v>
      </c>
      <c r="AB161" s="16">
        <f t="shared" si="51"/>
        <v>362785</v>
      </c>
      <c r="AC161" s="16">
        <f t="shared" si="51"/>
        <v>1214646</v>
      </c>
      <c r="AE161" s="16">
        <f>H161</f>
        <v>0</v>
      </c>
      <c r="AF161" s="16">
        <f>R161</f>
        <v>175000</v>
      </c>
    </row>
    <row r="162" spans="1:32" ht="15">
      <c r="A162" s="35"/>
      <c r="B162" s="36">
        <v>3999</v>
      </c>
      <c r="C162" s="126" t="s">
        <v>29</v>
      </c>
      <c r="D162" s="17" t="e">
        <f>+D159+D160+D161</f>
        <v>#REF!</v>
      </c>
      <c r="E162" s="17">
        <f>+E159+E160+E161</f>
        <v>948118.04</v>
      </c>
      <c r="F162" s="17">
        <f aca="true" t="shared" si="52" ref="F162:AC162">+F159+F160+F161</f>
        <v>63577.5</v>
      </c>
      <c r="G162" s="17">
        <f t="shared" si="52"/>
        <v>52000</v>
      </c>
      <c r="H162" s="17">
        <f t="shared" si="52"/>
        <v>57000</v>
      </c>
      <c r="I162" s="17">
        <f t="shared" si="52"/>
        <v>16000</v>
      </c>
      <c r="J162" s="17">
        <f t="shared" si="52"/>
        <v>71297.5</v>
      </c>
      <c r="K162" s="17">
        <f t="shared" si="52"/>
        <v>1006</v>
      </c>
      <c r="L162" s="17">
        <f t="shared" si="52"/>
        <v>0</v>
      </c>
      <c r="M162" s="17">
        <f t="shared" si="52"/>
        <v>50000</v>
      </c>
      <c r="N162" s="17">
        <f t="shared" si="52"/>
        <v>0</v>
      </c>
      <c r="O162" s="17">
        <f t="shared" si="52"/>
        <v>1176999.04</v>
      </c>
      <c r="P162" s="17">
        <f t="shared" si="52"/>
        <v>93225</v>
      </c>
      <c r="Q162" s="17">
        <f t="shared" si="52"/>
        <v>0</v>
      </c>
      <c r="R162" s="17">
        <f t="shared" si="52"/>
        <v>175000</v>
      </c>
      <c r="S162" s="17">
        <f t="shared" si="52"/>
        <v>94560</v>
      </c>
      <c r="T162" s="17">
        <f t="shared" si="52"/>
        <v>0</v>
      </c>
      <c r="U162" s="17">
        <f t="shared" si="52"/>
        <v>173000</v>
      </c>
      <c r="V162" s="17">
        <f t="shared" si="52"/>
        <v>0</v>
      </c>
      <c r="W162" s="17">
        <f t="shared" si="52"/>
        <v>0</v>
      </c>
      <c r="X162" s="17">
        <f t="shared" si="52"/>
        <v>0</v>
      </c>
      <c r="Y162" s="17">
        <f t="shared" si="52"/>
        <v>0</v>
      </c>
      <c r="Z162" s="17">
        <f t="shared" si="52"/>
        <v>0</v>
      </c>
      <c r="AA162" s="17">
        <f t="shared" si="52"/>
        <v>0</v>
      </c>
      <c r="AB162" s="17">
        <f t="shared" si="52"/>
        <v>535785</v>
      </c>
      <c r="AC162" s="17">
        <f t="shared" si="52"/>
        <v>1712784.04</v>
      </c>
      <c r="AE162" s="17">
        <f>+AE159+AE160+AE161</f>
        <v>57000</v>
      </c>
      <c r="AF162" s="17">
        <f>+AF159+AF160+AF161</f>
        <v>175000</v>
      </c>
    </row>
    <row r="163" spans="1:32" ht="15">
      <c r="A163" s="80">
        <v>40</v>
      </c>
      <c r="B163" s="86" t="s">
        <v>127</v>
      </c>
      <c r="C163" s="127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2"/>
      <c r="AC163" s="62"/>
      <c r="AE163" s="61"/>
      <c r="AF163" s="61"/>
    </row>
    <row r="164" spans="1:32" s="224" customFormat="1" ht="15">
      <c r="A164" s="25"/>
      <c r="B164" s="225" t="s">
        <v>56</v>
      </c>
      <c r="C164" s="222" t="s">
        <v>476</v>
      </c>
      <c r="D164" s="16" t="e">
        <f>SUM(#REF!)</f>
        <v>#REF!</v>
      </c>
      <c r="E164" s="16">
        <f>E91</f>
        <v>49500</v>
      </c>
      <c r="F164" s="16">
        <f aca="true" t="shared" si="53" ref="F164:AC164">F91</f>
        <v>0</v>
      </c>
      <c r="G164" s="16">
        <f t="shared" si="53"/>
        <v>2400</v>
      </c>
      <c r="H164" s="16">
        <f t="shared" si="53"/>
        <v>0</v>
      </c>
      <c r="I164" s="16">
        <f t="shared" si="53"/>
        <v>0</v>
      </c>
      <c r="J164" s="16">
        <f t="shared" si="53"/>
        <v>0</v>
      </c>
      <c r="K164" s="16">
        <f t="shared" si="53"/>
        <v>0</v>
      </c>
      <c r="L164" s="16">
        <f t="shared" si="53"/>
        <v>0</v>
      </c>
      <c r="M164" s="16">
        <f t="shared" si="53"/>
        <v>0</v>
      </c>
      <c r="N164" s="16">
        <f t="shared" si="53"/>
        <v>0</v>
      </c>
      <c r="O164" s="16">
        <f t="shared" si="53"/>
        <v>51900</v>
      </c>
      <c r="P164" s="16">
        <f t="shared" si="53"/>
        <v>6000</v>
      </c>
      <c r="Q164" s="16">
        <f t="shared" si="53"/>
        <v>0</v>
      </c>
      <c r="R164" s="16">
        <f t="shared" si="53"/>
        <v>0</v>
      </c>
      <c r="S164" s="16">
        <f t="shared" si="53"/>
        <v>6000</v>
      </c>
      <c r="T164" s="16">
        <f t="shared" si="53"/>
        <v>0</v>
      </c>
      <c r="U164" s="16">
        <f t="shared" si="53"/>
        <v>16000</v>
      </c>
      <c r="V164" s="16">
        <f t="shared" si="53"/>
        <v>0</v>
      </c>
      <c r="W164" s="16">
        <f t="shared" si="53"/>
        <v>0</v>
      </c>
      <c r="X164" s="16">
        <f t="shared" si="53"/>
        <v>0</v>
      </c>
      <c r="Y164" s="16">
        <f t="shared" si="53"/>
        <v>0</v>
      </c>
      <c r="Z164" s="16">
        <f t="shared" si="53"/>
        <v>0</v>
      </c>
      <c r="AA164" s="16">
        <f t="shared" si="53"/>
        <v>0</v>
      </c>
      <c r="AB164" s="16">
        <f t="shared" si="53"/>
        <v>28000</v>
      </c>
      <c r="AC164" s="16">
        <f t="shared" si="53"/>
        <v>79900</v>
      </c>
      <c r="AE164" s="16">
        <f>H164</f>
        <v>0</v>
      </c>
      <c r="AF164" s="16">
        <f>R164</f>
        <v>0</v>
      </c>
    </row>
    <row r="165" spans="1:32" s="224" customFormat="1" ht="15">
      <c r="A165" s="25"/>
      <c r="B165" s="225">
        <v>4200</v>
      </c>
      <c r="C165" s="222" t="s">
        <v>90</v>
      </c>
      <c r="D165" s="16" t="e">
        <f>SUM(#REF!)</f>
        <v>#REF!</v>
      </c>
      <c r="E165" s="16">
        <f>E98</f>
        <v>36660.58</v>
      </c>
      <c r="F165" s="16">
        <f aca="true" t="shared" si="54" ref="F165:AC165">F98</f>
        <v>0</v>
      </c>
      <c r="G165" s="16">
        <f t="shared" si="54"/>
        <v>2000</v>
      </c>
      <c r="H165" s="16">
        <f t="shared" si="54"/>
        <v>0</v>
      </c>
      <c r="I165" s="16">
        <f t="shared" si="54"/>
        <v>0</v>
      </c>
      <c r="J165" s="16">
        <f t="shared" si="54"/>
        <v>0</v>
      </c>
      <c r="K165" s="16">
        <f t="shared" si="54"/>
        <v>0</v>
      </c>
      <c r="L165" s="16">
        <f t="shared" si="54"/>
        <v>0</v>
      </c>
      <c r="M165" s="16">
        <f t="shared" si="54"/>
        <v>0</v>
      </c>
      <c r="N165" s="16">
        <f t="shared" si="54"/>
        <v>0</v>
      </c>
      <c r="O165" s="16">
        <f t="shared" si="54"/>
        <v>38660.58</v>
      </c>
      <c r="P165" s="16">
        <f t="shared" si="54"/>
        <v>38000</v>
      </c>
      <c r="Q165" s="16">
        <f t="shared" si="54"/>
        <v>0</v>
      </c>
      <c r="R165" s="16">
        <f t="shared" si="54"/>
        <v>0</v>
      </c>
      <c r="S165" s="16">
        <f t="shared" si="54"/>
        <v>52200</v>
      </c>
      <c r="T165" s="16">
        <f t="shared" si="54"/>
        <v>0</v>
      </c>
      <c r="U165" s="16">
        <f t="shared" si="54"/>
        <v>100460</v>
      </c>
      <c r="V165" s="16">
        <f t="shared" si="54"/>
        <v>0</v>
      </c>
      <c r="W165" s="16">
        <f t="shared" si="54"/>
        <v>0</v>
      </c>
      <c r="X165" s="16">
        <f t="shared" si="54"/>
        <v>0</v>
      </c>
      <c r="Y165" s="16">
        <f t="shared" si="54"/>
        <v>0</v>
      </c>
      <c r="Z165" s="16">
        <f t="shared" si="54"/>
        <v>0</v>
      </c>
      <c r="AA165" s="16">
        <f t="shared" si="54"/>
        <v>0</v>
      </c>
      <c r="AB165" s="16">
        <f t="shared" si="54"/>
        <v>190660</v>
      </c>
      <c r="AC165" s="16">
        <f t="shared" si="54"/>
        <v>229320.58000000002</v>
      </c>
      <c r="AE165" s="16">
        <f>H165</f>
        <v>0</v>
      </c>
      <c r="AF165" s="16">
        <f>R165</f>
        <v>0</v>
      </c>
    </row>
    <row r="166" spans="1:32" s="224" customFormat="1" ht="15">
      <c r="A166" s="25"/>
      <c r="B166" s="225">
        <v>4300</v>
      </c>
      <c r="C166" s="222" t="s">
        <v>477</v>
      </c>
      <c r="D166" s="16" t="e">
        <f>SUM(#REF!)</f>
        <v>#REF!</v>
      </c>
      <c r="E166" s="16">
        <f>E104</f>
        <v>6777</v>
      </c>
      <c r="F166" s="16">
        <f aca="true" t="shared" si="55" ref="F166:AC166">F104</f>
        <v>0</v>
      </c>
      <c r="G166" s="16">
        <f t="shared" si="55"/>
        <v>0</v>
      </c>
      <c r="H166" s="16">
        <f t="shared" si="55"/>
        <v>0</v>
      </c>
      <c r="I166" s="16">
        <f t="shared" si="55"/>
        <v>0</v>
      </c>
      <c r="J166" s="16">
        <f t="shared" si="55"/>
        <v>0</v>
      </c>
      <c r="K166" s="16">
        <f t="shared" si="55"/>
        <v>0</v>
      </c>
      <c r="L166" s="16">
        <f t="shared" si="55"/>
        <v>0</v>
      </c>
      <c r="M166" s="16">
        <f t="shared" si="55"/>
        <v>0</v>
      </c>
      <c r="N166" s="16">
        <f t="shared" si="55"/>
        <v>0</v>
      </c>
      <c r="O166" s="16">
        <f t="shared" si="55"/>
        <v>6777</v>
      </c>
      <c r="P166" s="16">
        <f t="shared" si="55"/>
        <v>21600</v>
      </c>
      <c r="Q166" s="16">
        <f t="shared" si="55"/>
        <v>41152.95</v>
      </c>
      <c r="R166" s="16">
        <f t="shared" si="55"/>
        <v>322180</v>
      </c>
      <c r="S166" s="16">
        <f t="shared" si="55"/>
        <v>187200</v>
      </c>
      <c r="T166" s="16">
        <f t="shared" si="55"/>
        <v>14700</v>
      </c>
      <c r="U166" s="16">
        <f t="shared" si="55"/>
        <v>60000</v>
      </c>
      <c r="V166" s="16">
        <f t="shared" si="55"/>
        <v>0</v>
      </c>
      <c r="W166" s="16">
        <f t="shared" si="55"/>
        <v>0</v>
      </c>
      <c r="X166" s="16">
        <f t="shared" si="55"/>
        <v>0</v>
      </c>
      <c r="Y166" s="16">
        <f t="shared" si="55"/>
        <v>0</v>
      </c>
      <c r="Z166" s="16">
        <f t="shared" si="55"/>
        <v>0</v>
      </c>
      <c r="AA166" s="16">
        <f t="shared" si="55"/>
        <v>0</v>
      </c>
      <c r="AB166" s="16">
        <f t="shared" si="55"/>
        <v>646832.95</v>
      </c>
      <c r="AC166" s="16">
        <f t="shared" si="55"/>
        <v>653609.95</v>
      </c>
      <c r="AE166" s="16">
        <f>H166</f>
        <v>0</v>
      </c>
      <c r="AF166" s="16">
        <f>R166</f>
        <v>322180</v>
      </c>
    </row>
    <row r="167" spans="1:32" ht="15">
      <c r="A167" s="35"/>
      <c r="B167" s="36">
        <v>4999</v>
      </c>
      <c r="C167" s="126" t="s">
        <v>29</v>
      </c>
      <c r="D167" s="17" t="e">
        <f>+D164+D165+D166</f>
        <v>#REF!</v>
      </c>
      <c r="E167" s="17">
        <f>+E164+E165+E166</f>
        <v>92937.58</v>
      </c>
      <c r="F167" s="17">
        <f aca="true" t="shared" si="56" ref="F167:AC167">+F164+F165+F166</f>
        <v>0</v>
      </c>
      <c r="G167" s="17">
        <f t="shared" si="56"/>
        <v>4400</v>
      </c>
      <c r="H167" s="17">
        <f t="shared" si="56"/>
        <v>0</v>
      </c>
      <c r="I167" s="17">
        <f t="shared" si="56"/>
        <v>0</v>
      </c>
      <c r="J167" s="17">
        <f t="shared" si="56"/>
        <v>0</v>
      </c>
      <c r="K167" s="17">
        <f t="shared" si="56"/>
        <v>0</v>
      </c>
      <c r="L167" s="17">
        <f t="shared" si="56"/>
        <v>0</v>
      </c>
      <c r="M167" s="17">
        <f t="shared" si="56"/>
        <v>0</v>
      </c>
      <c r="N167" s="17">
        <f t="shared" si="56"/>
        <v>0</v>
      </c>
      <c r="O167" s="17">
        <f t="shared" si="56"/>
        <v>97337.58</v>
      </c>
      <c r="P167" s="17">
        <f t="shared" si="56"/>
        <v>65600</v>
      </c>
      <c r="Q167" s="17">
        <f t="shared" si="56"/>
        <v>41152.95</v>
      </c>
      <c r="R167" s="17">
        <f t="shared" si="56"/>
        <v>322180</v>
      </c>
      <c r="S167" s="17">
        <f t="shared" si="56"/>
        <v>245400</v>
      </c>
      <c r="T167" s="17">
        <f t="shared" si="56"/>
        <v>14700</v>
      </c>
      <c r="U167" s="17">
        <f t="shared" si="56"/>
        <v>176460</v>
      </c>
      <c r="V167" s="17">
        <f t="shared" si="56"/>
        <v>0</v>
      </c>
      <c r="W167" s="17">
        <f t="shared" si="56"/>
        <v>0</v>
      </c>
      <c r="X167" s="17">
        <f t="shared" si="56"/>
        <v>0</v>
      </c>
      <c r="Y167" s="17">
        <f t="shared" si="56"/>
        <v>0</v>
      </c>
      <c r="Z167" s="17">
        <f t="shared" si="56"/>
        <v>0</v>
      </c>
      <c r="AA167" s="17">
        <f t="shared" si="56"/>
        <v>0</v>
      </c>
      <c r="AB167" s="17">
        <f t="shared" si="56"/>
        <v>865492.95</v>
      </c>
      <c r="AC167" s="17">
        <f t="shared" si="56"/>
        <v>962830.53</v>
      </c>
      <c r="AE167" s="17">
        <f>+AE164+AE165+AE166</f>
        <v>0</v>
      </c>
      <c r="AF167" s="17">
        <f>+AF164+AF165+AF166</f>
        <v>322180</v>
      </c>
    </row>
    <row r="168" spans="1:32" ht="15">
      <c r="A168" s="80">
        <v>50</v>
      </c>
      <c r="B168" s="74" t="s">
        <v>69</v>
      </c>
      <c r="C168" s="127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2"/>
      <c r="AC168" s="62"/>
      <c r="AE168" s="61"/>
      <c r="AF168" s="61"/>
    </row>
    <row r="169" spans="1:32" s="224" customFormat="1" ht="15">
      <c r="A169" s="25"/>
      <c r="B169" s="223" t="s">
        <v>70</v>
      </c>
      <c r="C169" s="220" t="s">
        <v>107</v>
      </c>
      <c r="D169" s="16" t="e">
        <f>SUM(#REF!)</f>
        <v>#REF!</v>
      </c>
      <c r="E169" s="16">
        <f>E114</f>
        <v>51500</v>
      </c>
      <c r="F169" s="16">
        <f aca="true" t="shared" si="57" ref="F169:AC169">F114</f>
        <v>0</v>
      </c>
      <c r="G169" s="16">
        <f t="shared" si="57"/>
        <v>0</v>
      </c>
      <c r="H169" s="16">
        <f t="shared" si="57"/>
        <v>0</v>
      </c>
      <c r="I169" s="16">
        <f t="shared" si="57"/>
        <v>0</v>
      </c>
      <c r="J169" s="16">
        <f t="shared" si="57"/>
        <v>70000</v>
      </c>
      <c r="K169" s="16">
        <f t="shared" si="57"/>
        <v>0</v>
      </c>
      <c r="L169" s="16">
        <f t="shared" si="57"/>
        <v>0</v>
      </c>
      <c r="M169" s="16">
        <f t="shared" si="57"/>
        <v>0</v>
      </c>
      <c r="N169" s="16">
        <f t="shared" si="57"/>
        <v>0</v>
      </c>
      <c r="O169" s="16">
        <f t="shared" si="57"/>
        <v>121500</v>
      </c>
      <c r="P169" s="16">
        <f t="shared" si="57"/>
        <v>0</v>
      </c>
      <c r="Q169" s="16">
        <f t="shared" si="57"/>
        <v>0</v>
      </c>
      <c r="R169" s="16">
        <f t="shared" si="57"/>
        <v>0</v>
      </c>
      <c r="S169" s="16">
        <f t="shared" si="57"/>
        <v>0</v>
      </c>
      <c r="T169" s="16">
        <f t="shared" si="57"/>
        <v>0</v>
      </c>
      <c r="U169" s="16">
        <f t="shared" si="57"/>
        <v>0</v>
      </c>
      <c r="V169" s="16">
        <f t="shared" si="57"/>
        <v>0</v>
      </c>
      <c r="W169" s="16">
        <f t="shared" si="57"/>
        <v>0</v>
      </c>
      <c r="X169" s="16">
        <f t="shared" si="57"/>
        <v>0</v>
      </c>
      <c r="Y169" s="16">
        <f t="shared" si="57"/>
        <v>0</v>
      </c>
      <c r="Z169" s="16">
        <f t="shared" si="57"/>
        <v>0</v>
      </c>
      <c r="AA169" s="16">
        <f t="shared" si="57"/>
        <v>0</v>
      </c>
      <c r="AB169" s="16">
        <f t="shared" si="57"/>
        <v>0</v>
      </c>
      <c r="AC169" s="16">
        <f t="shared" si="57"/>
        <v>121500</v>
      </c>
      <c r="AE169" s="16">
        <f>H169</f>
        <v>0</v>
      </c>
      <c r="AF169" s="16">
        <f>R169</f>
        <v>0</v>
      </c>
    </row>
    <row r="170" spans="1:32" s="224" customFormat="1" ht="15">
      <c r="A170" s="25"/>
      <c r="B170" s="225">
        <v>5200</v>
      </c>
      <c r="C170" s="222" t="s">
        <v>478</v>
      </c>
      <c r="D170" s="16" t="e">
        <f>SUM(#REF!)</f>
        <v>#REF!</v>
      </c>
      <c r="E170" s="16">
        <f>E119</f>
        <v>299825.2</v>
      </c>
      <c r="F170" s="16">
        <f aca="true" t="shared" si="58" ref="F170:AC170">F119</f>
        <v>0</v>
      </c>
      <c r="G170" s="16">
        <f t="shared" si="58"/>
        <v>0</v>
      </c>
      <c r="H170" s="16">
        <f t="shared" si="58"/>
        <v>0</v>
      </c>
      <c r="I170" s="16">
        <f t="shared" si="58"/>
        <v>0</v>
      </c>
      <c r="J170" s="16">
        <f t="shared" si="58"/>
        <v>0</v>
      </c>
      <c r="K170" s="16">
        <f t="shared" si="58"/>
        <v>0</v>
      </c>
      <c r="L170" s="16">
        <f t="shared" si="58"/>
        <v>0</v>
      </c>
      <c r="M170" s="16">
        <f t="shared" si="58"/>
        <v>0</v>
      </c>
      <c r="N170" s="16">
        <f t="shared" si="58"/>
        <v>0</v>
      </c>
      <c r="O170" s="16">
        <f t="shared" si="58"/>
        <v>299825.2</v>
      </c>
      <c r="P170" s="16">
        <f t="shared" si="58"/>
        <v>0</v>
      </c>
      <c r="Q170" s="16">
        <f t="shared" si="58"/>
        <v>0</v>
      </c>
      <c r="R170" s="16">
        <f t="shared" si="58"/>
        <v>0</v>
      </c>
      <c r="S170" s="16">
        <f t="shared" si="58"/>
        <v>0</v>
      </c>
      <c r="T170" s="16">
        <f t="shared" si="58"/>
        <v>0</v>
      </c>
      <c r="U170" s="16">
        <f t="shared" si="58"/>
        <v>0</v>
      </c>
      <c r="V170" s="16">
        <f t="shared" si="58"/>
        <v>0</v>
      </c>
      <c r="W170" s="16">
        <f t="shared" si="58"/>
        <v>0</v>
      </c>
      <c r="X170" s="16">
        <f t="shared" si="58"/>
        <v>0</v>
      </c>
      <c r="Y170" s="16">
        <f t="shared" si="58"/>
        <v>0</v>
      </c>
      <c r="Z170" s="16">
        <f t="shared" si="58"/>
        <v>0</v>
      </c>
      <c r="AA170" s="16">
        <f t="shared" si="58"/>
        <v>0</v>
      </c>
      <c r="AB170" s="16">
        <f t="shared" si="58"/>
        <v>0</v>
      </c>
      <c r="AC170" s="16">
        <f t="shared" si="58"/>
        <v>299825.2</v>
      </c>
      <c r="AE170" s="16">
        <f>H170</f>
        <v>0</v>
      </c>
      <c r="AF170" s="16">
        <f>R170</f>
        <v>0</v>
      </c>
    </row>
    <row r="171" spans="1:32" s="224" customFormat="1" ht="15">
      <c r="A171" s="25"/>
      <c r="B171" s="225">
        <v>5300</v>
      </c>
      <c r="C171" s="222" t="s">
        <v>124</v>
      </c>
      <c r="D171" s="16" t="e">
        <f>SUM(#REF!)</f>
        <v>#REF!</v>
      </c>
      <c r="E171" s="16">
        <f>E125</f>
        <v>93449.92000000001</v>
      </c>
      <c r="F171" s="16">
        <f aca="true" t="shared" si="59" ref="F171:AC171">F125</f>
        <v>0</v>
      </c>
      <c r="G171" s="16">
        <f t="shared" si="59"/>
        <v>12000</v>
      </c>
      <c r="H171" s="16">
        <f t="shared" si="59"/>
        <v>0</v>
      </c>
      <c r="I171" s="16">
        <f t="shared" si="59"/>
        <v>0</v>
      </c>
      <c r="J171" s="16">
        <f t="shared" si="59"/>
        <v>0</v>
      </c>
      <c r="K171" s="16">
        <f t="shared" si="59"/>
        <v>0</v>
      </c>
      <c r="L171" s="16">
        <f t="shared" si="59"/>
        <v>0</v>
      </c>
      <c r="M171" s="16">
        <f t="shared" si="59"/>
        <v>0</v>
      </c>
      <c r="N171" s="16">
        <f t="shared" si="59"/>
        <v>0</v>
      </c>
      <c r="O171" s="16">
        <f t="shared" si="59"/>
        <v>105449.92000000001</v>
      </c>
      <c r="P171" s="16">
        <f t="shared" si="59"/>
        <v>4200</v>
      </c>
      <c r="Q171" s="16">
        <f t="shared" si="59"/>
        <v>0</v>
      </c>
      <c r="R171" s="16">
        <f t="shared" si="59"/>
        <v>0</v>
      </c>
      <c r="S171" s="16">
        <f t="shared" si="59"/>
        <v>21000</v>
      </c>
      <c r="T171" s="16">
        <f t="shared" si="59"/>
        <v>0</v>
      </c>
      <c r="U171" s="16">
        <f t="shared" si="59"/>
        <v>10000</v>
      </c>
      <c r="V171" s="16">
        <f t="shared" si="59"/>
        <v>0</v>
      </c>
      <c r="W171" s="16">
        <f t="shared" si="59"/>
        <v>0</v>
      </c>
      <c r="X171" s="16">
        <f t="shared" si="59"/>
        <v>0</v>
      </c>
      <c r="Y171" s="16">
        <f t="shared" si="59"/>
        <v>0</v>
      </c>
      <c r="Z171" s="16">
        <f t="shared" si="59"/>
        <v>0</v>
      </c>
      <c r="AA171" s="16">
        <f t="shared" si="59"/>
        <v>0</v>
      </c>
      <c r="AB171" s="16">
        <f t="shared" si="59"/>
        <v>35200</v>
      </c>
      <c r="AC171" s="16">
        <f t="shared" si="59"/>
        <v>140649.92</v>
      </c>
      <c r="AE171" s="16">
        <f>H171</f>
        <v>0</v>
      </c>
      <c r="AF171" s="16">
        <f>R171</f>
        <v>0</v>
      </c>
    </row>
    <row r="172" spans="1:32" s="224" customFormat="1" ht="15">
      <c r="A172" s="25"/>
      <c r="B172" s="226">
        <v>5400</v>
      </c>
      <c r="C172" s="130" t="s">
        <v>84</v>
      </c>
      <c r="D172" s="16" t="e">
        <f>SUM(#REF!)</f>
        <v>#REF!</v>
      </c>
      <c r="E172" s="16">
        <f>E129</f>
        <v>0</v>
      </c>
      <c r="F172" s="16">
        <f aca="true" t="shared" si="60" ref="F172:AC172">F129</f>
        <v>0</v>
      </c>
      <c r="G172" s="16">
        <f t="shared" si="60"/>
        <v>0</v>
      </c>
      <c r="H172" s="16">
        <f t="shared" si="60"/>
        <v>0</v>
      </c>
      <c r="I172" s="16">
        <f t="shared" si="60"/>
        <v>0</v>
      </c>
      <c r="J172" s="16">
        <f t="shared" si="60"/>
        <v>0</v>
      </c>
      <c r="K172" s="16">
        <f t="shared" si="60"/>
        <v>0</v>
      </c>
      <c r="L172" s="16">
        <f t="shared" si="60"/>
        <v>0</v>
      </c>
      <c r="M172" s="16">
        <f t="shared" si="60"/>
        <v>0</v>
      </c>
      <c r="N172" s="16">
        <f t="shared" si="60"/>
        <v>0</v>
      </c>
      <c r="O172" s="16">
        <f t="shared" si="60"/>
        <v>0</v>
      </c>
      <c r="P172" s="16">
        <f t="shared" si="60"/>
        <v>0</v>
      </c>
      <c r="Q172" s="16">
        <f t="shared" si="60"/>
        <v>0</v>
      </c>
      <c r="R172" s="16">
        <f t="shared" si="60"/>
        <v>0</v>
      </c>
      <c r="S172" s="16">
        <f t="shared" si="60"/>
        <v>0</v>
      </c>
      <c r="T172" s="16">
        <f t="shared" si="60"/>
        <v>0</v>
      </c>
      <c r="U172" s="16">
        <f t="shared" si="60"/>
        <v>0</v>
      </c>
      <c r="V172" s="16">
        <f t="shared" si="60"/>
        <v>0</v>
      </c>
      <c r="W172" s="16">
        <f t="shared" si="60"/>
        <v>0</v>
      </c>
      <c r="X172" s="16">
        <f t="shared" si="60"/>
        <v>0</v>
      </c>
      <c r="Y172" s="16">
        <f t="shared" si="60"/>
        <v>0</v>
      </c>
      <c r="Z172" s="16">
        <f t="shared" si="60"/>
        <v>0</v>
      </c>
      <c r="AA172" s="16">
        <f t="shared" si="60"/>
        <v>0</v>
      </c>
      <c r="AB172" s="16">
        <f t="shared" si="60"/>
        <v>0</v>
      </c>
      <c r="AC172" s="16">
        <f t="shared" si="60"/>
        <v>0</v>
      </c>
      <c r="AE172" s="16">
        <f>H172</f>
        <v>0</v>
      </c>
      <c r="AF172" s="16">
        <f>R172</f>
        <v>0</v>
      </c>
    </row>
    <row r="173" spans="1:32" s="224" customFormat="1" ht="15">
      <c r="A173" s="25"/>
      <c r="B173" s="225">
        <v>5500</v>
      </c>
      <c r="C173" s="222" t="s">
        <v>479</v>
      </c>
      <c r="D173" s="16" t="e">
        <f>SUM(#REF!)</f>
        <v>#REF!</v>
      </c>
      <c r="E173" s="16">
        <f>E134</f>
        <v>145000</v>
      </c>
      <c r="F173" s="16">
        <f aca="true" t="shared" si="61" ref="F173:AC173">F134</f>
        <v>0</v>
      </c>
      <c r="G173" s="16">
        <f t="shared" si="61"/>
        <v>0</v>
      </c>
      <c r="H173" s="16">
        <f t="shared" si="61"/>
        <v>0</v>
      </c>
      <c r="I173" s="16">
        <f t="shared" si="61"/>
        <v>0</v>
      </c>
      <c r="J173" s="16">
        <f t="shared" si="61"/>
        <v>0</v>
      </c>
      <c r="K173" s="16">
        <f t="shared" si="61"/>
        <v>0</v>
      </c>
      <c r="L173" s="16">
        <f t="shared" si="61"/>
        <v>0</v>
      </c>
      <c r="M173" s="16">
        <f t="shared" si="61"/>
        <v>0</v>
      </c>
      <c r="N173" s="16">
        <f t="shared" si="61"/>
        <v>0</v>
      </c>
      <c r="O173" s="16">
        <f t="shared" si="61"/>
        <v>145000</v>
      </c>
      <c r="P173" s="16">
        <f t="shared" si="61"/>
        <v>0</v>
      </c>
      <c r="Q173" s="16">
        <f t="shared" si="61"/>
        <v>0</v>
      </c>
      <c r="R173" s="16">
        <f t="shared" si="61"/>
        <v>0</v>
      </c>
      <c r="S173" s="16">
        <f t="shared" si="61"/>
        <v>0</v>
      </c>
      <c r="T173" s="16">
        <f t="shared" si="61"/>
        <v>0</v>
      </c>
      <c r="U173" s="16">
        <f t="shared" si="61"/>
        <v>0</v>
      </c>
      <c r="V173" s="16">
        <f t="shared" si="61"/>
        <v>0</v>
      </c>
      <c r="W173" s="16">
        <f t="shared" si="61"/>
        <v>0</v>
      </c>
      <c r="X173" s="16">
        <f t="shared" si="61"/>
        <v>0</v>
      </c>
      <c r="Y173" s="16">
        <f t="shared" si="61"/>
        <v>0</v>
      </c>
      <c r="Z173" s="16">
        <f t="shared" si="61"/>
        <v>0</v>
      </c>
      <c r="AA173" s="16">
        <f t="shared" si="61"/>
        <v>0</v>
      </c>
      <c r="AB173" s="16">
        <f t="shared" si="61"/>
        <v>0</v>
      </c>
      <c r="AC173" s="16">
        <f t="shared" si="61"/>
        <v>145000</v>
      </c>
      <c r="AE173" s="16">
        <f>H173</f>
        <v>0</v>
      </c>
      <c r="AF173" s="16">
        <f>R173</f>
        <v>0</v>
      </c>
    </row>
    <row r="174" spans="1:32" ht="15">
      <c r="A174" s="35"/>
      <c r="B174" s="36">
        <v>5999</v>
      </c>
      <c r="C174" s="126" t="s">
        <v>29</v>
      </c>
      <c r="D174" s="17" t="e">
        <f>+D169+D170+D171+D172+D173</f>
        <v>#REF!</v>
      </c>
      <c r="E174" s="17">
        <f>+E169+E170+E171+E172+E173</f>
        <v>589775.12</v>
      </c>
      <c r="F174" s="17">
        <f aca="true" t="shared" si="62" ref="F174:AC174">+F169+F170+F171+F172+F173</f>
        <v>0</v>
      </c>
      <c r="G174" s="17">
        <f t="shared" si="62"/>
        <v>12000</v>
      </c>
      <c r="H174" s="17">
        <f t="shared" si="62"/>
        <v>0</v>
      </c>
      <c r="I174" s="17">
        <f t="shared" si="62"/>
        <v>0</v>
      </c>
      <c r="J174" s="17">
        <f t="shared" si="62"/>
        <v>70000</v>
      </c>
      <c r="K174" s="17">
        <f t="shared" si="62"/>
        <v>0</v>
      </c>
      <c r="L174" s="17">
        <f t="shared" si="62"/>
        <v>0</v>
      </c>
      <c r="M174" s="17">
        <f t="shared" si="62"/>
        <v>0</v>
      </c>
      <c r="N174" s="17">
        <f t="shared" si="62"/>
        <v>0</v>
      </c>
      <c r="O174" s="17">
        <f t="shared" si="62"/>
        <v>671775.12</v>
      </c>
      <c r="P174" s="17">
        <f t="shared" si="62"/>
        <v>4200</v>
      </c>
      <c r="Q174" s="17">
        <f t="shared" si="62"/>
        <v>0</v>
      </c>
      <c r="R174" s="17">
        <f t="shared" si="62"/>
        <v>0</v>
      </c>
      <c r="S174" s="17">
        <f t="shared" si="62"/>
        <v>21000</v>
      </c>
      <c r="T174" s="17">
        <f t="shared" si="62"/>
        <v>0</v>
      </c>
      <c r="U174" s="17">
        <f t="shared" si="62"/>
        <v>10000</v>
      </c>
      <c r="V174" s="17">
        <f t="shared" si="62"/>
        <v>0</v>
      </c>
      <c r="W174" s="17">
        <f t="shared" si="62"/>
        <v>0</v>
      </c>
      <c r="X174" s="17">
        <f t="shared" si="62"/>
        <v>0</v>
      </c>
      <c r="Y174" s="17">
        <f t="shared" si="62"/>
        <v>0</v>
      </c>
      <c r="Z174" s="17">
        <f t="shared" si="62"/>
        <v>0</v>
      </c>
      <c r="AA174" s="17">
        <f t="shared" si="62"/>
        <v>0</v>
      </c>
      <c r="AB174" s="17">
        <f t="shared" si="62"/>
        <v>35200</v>
      </c>
      <c r="AC174" s="17">
        <f t="shared" si="62"/>
        <v>706975.12</v>
      </c>
      <c r="AE174" s="17">
        <f>+AE169+AE170+AE171+AE172+AE173</f>
        <v>0</v>
      </c>
      <c r="AF174" s="17">
        <f>+AF169+AF170+AF171+AF172+AF173</f>
        <v>0</v>
      </c>
    </row>
    <row r="175" spans="1:32" ht="15.75" thickBot="1">
      <c r="A175" s="49"/>
      <c r="B175" s="50" t="s">
        <v>136</v>
      </c>
      <c r="C175" s="132"/>
      <c r="D175" s="24" t="e">
        <f aca="true" t="shared" si="63" ref="D175:AC175">+D152+D157+D162+D167+D174</f>
        <v>#REF!</v>
      </c>
      <c r="E175" s="24">
        <f t="shared" si="63"/>
        <v>4951278.11191936</v>
      </c>
      <c r="F175" s="24">
        <f t="shared" si="63"/>
        <v>118200</v>
      </c>
      <c r="G175" s="24">
        <f t="shared" si="63"/>
        <v>88400</v>
      </c>
      <c r="H175" s="24">
        <f t="shared" si="63"/>
        <v>183000</v>
      </c>
      <c r="I175" s="24">
        <f t="shared" si="63"/>
        <v>140000</v>
      </c>
      <c r="J175" s="24">
        <f t="shared" si="63"/>
        <v>196870</v>
      </c>
      <c r="K175" s="24">
        <f t="shared" si="63"/>
        <v>45456</v>
      </c>
      <c r="L175" s="24">
        <f t="shared" si="63"/>
        <v>10000</v>
      </c>
      <c r="M175" s="24">
        <f t="shared" si="63"/>
        <v>50000</v>
      </c>
      <c r="N175" s="24">
        <f t="shared" si="63"/>
        <v>0</v>
      </c>
      <c r="O175" s="38">
        <f t="shared" si="63"/>
        <v>5701204.11191936</v>
      </c>
      <c r="P175" s="24">
        <f t="shared" si="63"/>
        <v>299700</v>
      </c>
      <c r="Q175" s="24">
        <f t="shared" si="63"/>
        <v>141152.95</v>
      </c>
      <c r="R175" s="24">
        <f t="shared" si="63"/>
        <v>732000</v>
      </c>
      <c r="S175" s="24">
        <f t="shared" si="63"/>
        <v>550000</v>
      </c>
      <c r="T175" s="24">
        <f t="shared" si="63"/>
        <v>60700</v>
      </c>
      <c r="U175" s="24">
        <f t="shared" si="63"/>
        <v>774460</v>
      </c>
      <c r="V175" s="24">
        <f t="shared" si="63"/>
        <v>0</v>
      </c>
      <c r="W175" s="24">
        <f t="shared" si="63"/>
        <v>0</v>
      </c>
      <c r="X175" s="24">
        <f t="shared" si="63"/>
        <v>0</v>
      </c>
      <c r="Y175" s="24">
        <f t="shared" si="63"/>
        <v>0</v>
      </c>
      <c r="Z175" s="24">
        <f t="shared" si="63"/>
        <v>0</v>
      </c>
      <c r="AA175" s="24">
        <f t="shared" si="63"/>
        <v>0</v>
      </c>
      <c r="AB175" s="38">
        <f t="shared" si="63"/>
        <v>2558012.95</v>
      </c>
      <c r="AC175" s="38">
        <f t="shared" si="63"/>
        <v>8259217.06191936</v>
      </c>
      <c r="AE175" s="24">
        <f>+AE152+AE157+AE162+AE167+AE174</f>
        <v>183000</v>
      </c>
      <c r="AF175" s="24">
        <f>+AF152+AF157+AF162+AF167+AF174</f>
        <v>732000</v>
      </c>
    </row>
    <row r="176" spans="1:32" ht="15.75" thickBot="1">
      <c r="A176" s="49"/>
      <c r="B176" s="50" t="s">
        <v>280</v>
      </c>
      <c r="C176" s="113"/>
      <c r="D176" s="24">
        <f>'detailed GEF budget BIS'!G159</f>
        <v>0</v>
      </c>
      <c r="E176" s="24">
        <f>E138</f>
        <v>396102.24895354884</v>
      </c>
      <c r="F176" s="24">
        <f aca="true" t="shared" si="64" ref="F176:AC176">F138</f>
        <v>0</v>
      </c>
      <c r="G176" s="24">
        <f t="shared" si="64"/>
        <v>0</v>
      </c>
      <c r="H176" s="24">
        <f t="shared" si="64"/>
        <v>0</v>
      </c>
      <c r="I176" s="24">
        <f t="shared" si="64"/>
        <v>0</v>
      </c>
      <c r="J176" s="24">
        <f t="shared" si="64"/>
        <v>0</v>
      </c>
      <c r="K176" s="24">
        <f t="shared" si="64"/>
        <v>0</v>
      </c>
      <c r="L176" s="24">
        <f t="shared" si="64"/>
        <v>0</v>
      </c>
      <c r="M176" s="24">
        <f t="shared" si="64"/>
        <v>0</v>
      </c>
      <c r="N176" s="24">
        <f t="shared" si="64"/>
        <v>0</v>
      </c>
      <c r="O176" s="24">
        <f t="shared" si="64"/>
        <v>396102.24895354884</v>
      </c>
      <c r="P176" s="24">
        <f t="shared" si="64"/>
        <v>0</v>
      </c>
      <c r="Q176" s="24">
        <f t="shared" si="64"/>
        <v>0</v>
      </c>
      <c r="R176" s="24">
        <f t="shared" si="64"/>
        <v>0</v>
      </c>
      <c r="S176" s="24">
        <f t="shared" si="64"/>
        <v>0</v>
      </c>
      <c r="T176" s="24">
        <f t="shared" si="64"/>
        <v>0</v>
      </c>
      <c r="U176" s="24">
        <f t="shared" si="64"/>
        <v>0</v>
      </c>
      <c r="V176" s="24">
        <f t="shared" si="64"/>
        <v>0</v>
      </c>
      <c r="W176" s="24">
        <f t="shared" si="64"/>
        <v>0</v>
      </c>
      <c r="X176" s="24">
        <f t="shared" si="64"/>
        <v>0</v>
      </c>
      <c r="Y176" s="24">
        <f t="shared" si="64"/>
        <v>0</v>
      </c>
      <c r="Z176" s="24">
        <f t="shared" si="64"/>
        <v>0</v>
      </c>
      <c r="AA176" s="24">
        <f t="shared" si="64"/>
        <v>0</v>
      </c>
      <c r="AB176" s="24">
        <f t="shared" si="64"/>
        <v>0</v>
      </c>
      <c r="AC176" s="24">
        <f t="shared" si="64"/>
        <v>396102.24895354884</v>
      </c>
      <c r="AE176" s="24">
        <f>AE137</f>
        <v>0</v>
      </c>
      <c r="AF176" s="24">
        <f>AF137</f>
        <v>0</v>
      </c>
    </row>
    <row r="177" spans="1:32" ht="15.75" thickBot="1">
      <c r="A177" s="49"/>
      <c r="B177" s="50" t="s">
        <v>281</v>
      </c>
      <c r="C177" s="113"/>
      <c r="D177" s="24">
        <f>'detailed GEF budget BIS'!G160</f>
        <v>0</v>
      </c>
      <c r="E177" s="24">
        <f aca="true" t="shared" si="65" ref="E177:AC177">E176+E175</f>
        <v>5347380.360872909</v>
      </c>
      <c r="F177" s="24">
        <f t="shared" si="65"/>
        <v>118200</v>
      </c>
      <c r="G177" s="24">
        <f t="shared" si="65"/>
        <v>88400</v>
      </c>
      <c r="H177" s="24">
        <f t="shared" si="65"/>
        <v>183000</v>
      </c>
      <c r="I177" s="24">
        <f t="shared" si="65"/>
        <v>140000</v>
      </c>
      <c r="J177" s="24">
        <f t="shared" si="65"/>
        <v>196870</v>
      </c>
      <c r="K177" s="24">
        <f t="shared" si="65"/>
        <v>45456</v>
      </c>
      <c r="L177" s="24">
        <f t="shared" si="65"/>
        <v>10000</v>
      </c>
      <c r="M177" s="24">
        <f t="shared" si="65"/>
        <v>50000</v>
      </c>
      <c r="N177" s="24">
        <f t="shared" si="65"/>
        <v>0</v>
      </c>
      <c r="O177" s="24">
        <f t="shared" si="65"/>
        <v>6097306.360872909</v>
      </c>
      <c r="P177" s="24">
        <f t="shared" si="65"/>
        <v>299700</v>
      </c>
      <c r="Q177" s="24">
        <f t="shared" si="65"/>
        <v>141152.95</v>
      </c>
      <c r="R177" s="24">
        <f t="shared" si="65"/>
        <v>732000</v>
      </c>
      <c r="S177" s="24">
        <f t="shared" si="65"/>
        <v>550000</v>
      </c>
      <c r="T177" s="24">
        <f t="shared" si="65"/>
        <v>60700</v>
      </c>
      <c r="U177" s="24">
        <f t="shared" si="65"/>
        <v>774460</v>
      </c>
      <c r="V177" s="24">
        <f t="shared" si="65"/>
        <v>0</v>
      </c>
      <c r="W177" s="24">
        <f t="shared" si="65"/>
        <v>0</v>
      </c>
      <c r="X177" s="24">
        <f t="shared" si="65"/>
        <v>0</v>
      </c>
      <c r="Y177" s="24">
        <f t="shared" si="65"/>
        <v>0</v>
      </c>
      <c r="Z177" s="24">
        <f t="shared" si="65"/>
        <v>0</v>
      </c>
      <c r="AA177" s="24">
        <f t="shared" si="65"/>
        <v>0</v>
      </c>
      <c r="AB177" s="24">
        <f t="shared" si="65"/>
        <v>2558012.95</v>
      </c>
      <c r="AC177" s="24">
        <f t="shared" si="65"/>
        <v>8655319.310872909</v>
      </c>
      <c r="AE177" s="24">
        <f>AE176+AE175</f>
        <v>183000</v>
      </c>
      <c r="AF177" s="24">
        <f>AF176+AF175</f>
        <v>732000</v>
      </c>
    </row>
    <row r="178" spans="1:32" ht="15">
      <c r="A178" s="7"/>
      <c r="B178" s="10"/>
      <c r="C178" s="133"/>
      <c r="D178" s="1"/>
      <c r="E178" s="1"/>
      <c r="F178" s="1"/>
      <c r="G178" s="1"/>
      <c r="H178" s="1"/>
      <c r="I178" s="1"/>
      <c r="J178" s="1">
        <f>J177-J174</f>
        <v>126870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3"/>
      <c r="AF178" s="3"/>
    </row>
    <row r="179" spans="1:29" ht="15.75" thickBot="1">
      <c r="A179" s="7"/>
      <c r="B179" s="10"/>
      <c r="C179" s="13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5.5">
      <c r="A180" s="90"/>
      <c r="B180" s="90"/>
      <c r="C180" s="116"/>
      <c r="D180" s="91" t="s">
        <v>4</v>
      </c>
      <c r="E180" s="91" t="s">
        <v>146</v>
      </c>
      <c r="F180" s="92" t="str">
        <f>AE143</f>
        <v>Cofinance   RCI</v>
      </c>
      <c r="G180" s="92" t="str">
        <f>AF143</f>
        <v>Cofinance   RCI</v>
      </c>
      <c r="H180" s="92" t="s">
        <v>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thickBot="1">
      <c r="A181" s="12"/>
      <c r="B181" s="13"/>
      <c r="C181" s="116"/>
      <c r="D181" s="87"/>
      <c r="E181" s="89" t="s">
        <v>231</v>
      </c>
      <c r="F181" s="89" t="s">
        <v>231</v>
      </c>
      <c r="G181" s="89" t="str">
        <f>AF144</f>
        <v>Kind</v>
      </c>
      <c r="H181" s="89" t="s">
        <v>481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thickBot="1">
      <c r="A182" s="288" t="s">
        <v>133</v>
      </c>
      <c r="B182" s="289"/>
      <c r="C182" s="290"/>
      <c r="D182" s="31" t="s">
        <v>5</v>
      </c>
      <c r="E182" s="32" t="s">
        <v>5</v>
      </c>
      <c r="F182" s="32" t="s">
        <v>5</v>
      </c>
      <c r="G182" s="32" t="s">
        <v>5</v>
      </c>
      <c r="H182" s="32" t="s">
        <v>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20">
        <v>10</v>
      </c>
      <c r="B183" s="21" t="s">
        <v>6</v>
      </c>
      <c r="C183" s="117"/>
      <c r="D183" s="51"/>
      <c r="E183" s="51"/>
      <c r="F183" s="51"/>
      <c r="G183" s="51"/>
      <c r="H183" s="5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25"/>
      <c r="B184" s="219" t="s">
        <v>7</v>
      </c>
      <c r="C184" s="220" t="s">
        <v>466</v>
      </c>
      <c r="D184" s="16" t="e">
        <f>SUM(#REF!)</f>
        <v>#REF!</v>
      </c>
      <c r="E184" s="16">
        <f>E147</f>
        <v>1448219.45472384</v>
      </c>
      <c r="F184" s="16">
        <f aca="true" t="shared" si="66" ref="F184:G188">AE147</f>
        <v>0</v>
      </c>
      <c r="G184" s="16">
        <f t="shared" si="66"/>
        <v>172000</v>
      </c>
      <c r="H184" s="16">
        <f>SUM(E184:G184)</f>
        <v>1620219.45472384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25"/>
      <c r="B185" s="221" t="s">
        <v>11</v>
      </c>
      <c r="C185" s="222" t="s">
        <v>467</v>
      </c>
      <c r="D185" s="16" t="e">
        <f>SUM(#REF!)</f>
        <v>#REF!</v>
      </c>
      <c r="E185" s="16">
        <f>E148</f>
        <v>553643.26</v>
      </c>
      <c r="F185" s="16">
        <f t="shared" si="66"/>
        <v>126000</v>
      </c>
      <c r="G185" s="16">
        <f t="shared" si="66"/>
        <v>62820</v>
      </c>
      <c r="H185" s="16">
        <f>SUM(E185:G185)</f>
        <v>742463.26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25"/>
      <c r="B186" s="221" t="s">
        <v>16</v>
      </c>
      <c r="C186" s="222" t="s">
        <v>468</v>
      </c>
      <c r="D186" s="16" t="e">
        <f>SUM(#REF!)</f>
        <v>#REF!</v>
      </c>
      <c r="E186" s="16">
        <f>E149</f>
        <v>100300.65719552</v>
      </c>
      <c r="F186" s="16">
        <f t="shared" si="66"/>
        <v>0</v>
      </c>
      <c r="G186" s="16">
        <f t="shared" si="66"/>
        <v>0</v>
      </c>
      <c r="H186" s="16">
        <f>SUM(E186:G186)</f>
        <v>100300.65719552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25"/>
      <c r="B187" s="26" t="s">
        <v>21</v>
      </c>
      <c r="C187" s="130" t="s">
        <v>469</v>
      </c>
      <c r="D187" s="16" t="e">
        <f>SUM(#REF!)</f>
        <v>#REF!</v>
      </c>
      <c r="E187" s="16">
        <f>E150</f>
        <v>0</v>
      </c>
      <c r="F187" s="16">
        <f t="shared" si="66"/>
        <v>0</v>
      </c>
      <c r="G187" s="16">
        <f t="shared" si="66"/>
        <v>0</v>
      </c>
      <c r="H187" s="16">
        <f>SUM(E187:G187)</f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25"/>
      <c r="B188" s="26" t="s">
        <v>25</v>
      </c>
      <c r="C188" s="130" t="s">
        <v>470</v>
      </c>
      <c r="D188" s="16" t="e">
        <f>SUM(#REF!)</f>
        <v>#REF!</v>
      </c>
      <c r="E188" s="16">
        <f>E151</f>
        <v>266898</v>
      </c>
      <c r="F188" s="16">
        <f t="shared" si="66"/>
        <v>0</v>
      </c>
      <c r="G188" s="16">
        <f t="shared" si="66"/>
        <v>0</v>
      </c>
      <c r="H188" s="16">
        <f>SUM(E188:G188)</f>
        <v>266898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35"/>
      <c r="B189" s="36">
        <v>1999</v>
      </c>
      <c r="C189" s="126" t="s">
        <v>29</v>
      </c>
      <c r="D189" s="17" t="e">
        <f>+D184+D185+D186+D187+D188</f>
        <v>#REF!</v>
      </c>
      <c r="E189" s="17">
        <f>+E184+E185+E186+E187+E188</f>
        <v>2369061.37191936</v>
      </c>
      <c r="F189" s="17">
        <f>+F184+F185+F186+F187+F188</f>
        <v>126000</v>
      </c>
      <c r="G189" s="17">
        <f>+G184+G185+G186+G187+G188</f>
        <v>234820</v>
      </c>
      <c r="H189" s="17">
        <f>+H184+H185+H186+H187+H188</f>
        <v>2729881.3719193605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80">
        <v>20</v>
      </c>
      <c r="B190" s="74" t="s">
        <v>104</v>
      </c>
      <c r="C190" s="127"/>
      <c r="D190" s="61"/>
      <c r="E190" s="61"/>
      <c r="F190" s="61"/>
      <c r="G190" s="61"/>
      <c r="H190" s="6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5.5">
      <c r="A191" s="25"/>
      <c r="B191" s="219" t="s">
        <v>30</v>
      </c>
      <c r="C191" s="222" t="s">
        <v>471</v>
      </c>
      <c r="D191" s="16" t="e">
        <f>SUM(#REF!)</f>
        <v>#REF!</v>
      </c>
      <c r="E191" s="16">
        <f>E154</f>
        <v>0</v>
      </c>
      <c r="F191" s="16">
        <f aca="true" t="shared" si="67" ref="F191:G193">AE154</f>
        <v>0</v>
      </c>
      <c r="G191" s="16">
        <f t="shared" si="67"/>
        <v>0</v>
      </c>
      <c r="H191" s="16">
        <f>SUM(E191:G191)</f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5.5">
      <c r="A192" s="25"/>
      <c r="B192" s="221" t="s">
        <v>33</v>
      </c>
      <c r="C192" s="222" t="s">
        <v>472</v>
      </c>
      <c r="D192" s="16" t="e">
        <f>SUM(#REF!)</f>
        <v>#REF!</v>
      </c>
      <c r="E192" s="16">
        <f>E155</f>
        <v>951386</v>
      </c>
      <c r="F192" s="16">
        <f t="shared" si="67"/>
        <v>0</v>
      </c>
      <c r="G192" s="16">
        <f t="shared" si="67"/>
        <v>0</v>
      </c>
      <c r="H192" s="16">
        <f>SUM(E192:G192)</f>
        <v>951386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25"/>
      <c r="B193" s="26" t="s">
        <v>42</v>
      </c>
      <c r="C193" s="130" t="s">
        <v>126</v>
      </c>
      <c r="D193" s="16" t="e">
        <f>SUM(#REF!)</f>
        <v>#REF!</v>
      </c>
      <c r="E193" s="16">
        <f>E156</f>
        <v>0</v>
      </c>
      <c r="F193" s="16">
        <f t="shared" si="67"/>
        <v>0</v>
      </c>
      <c r="G193" s="16">
        <f t="shared" si="67"/>
        <v>0</v>
      </c>
      <c r="H193" s="16">
        <f>SUM(E193:G193)</f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35"/>
      <c r="B194" s="36">
        <v>2999</v>
      </c>
      <c r="C194" s="126" t="s">
        <v>29</v>
      </c>
      <c r="D194" s="17" t="e">
        <f>+D191+D192+D193</f>
        <v>#REF!</v>
      </c>
      <c r="E194" s="17">
        <f>+E191+E192+E193</f>
        <v>951386</v>
      </c>
      <c r="F194" s="17">
        <f>+F191+F192+F193</f>
        <v>0</v>
      </c>
      <c r="G194" s="17">
        <f>+G191+G192+G193</f>
        <v>0</v>
      </c>
      <c r="H194" s="17">
        <f>+H191+H192+H193</f>
        <v>951386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84">
        <v>30</v>
      </c>
      <c r="B195" s="85" t="s">
        <v>43</v>
      </c>
      <c r="C195" s="129"/>
      <c r="D195" s="77"/>
      <c r="E195" s="77"/>
      <c r="F195" s="77"/>
      <c r="G195" s="77"/>
      <c r="H195" s="7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25"/>
      <c r="B196" s="219" t="s">
        <v>44</v>
      </c>
      <c r="C196" s="220" t="s">
        <v>475</v>
      </c>
      <c r="D196" s="16" t="e">
        <f>SUM(#REF!)</f>
        <v>#REF!</v>
      </c>
      <c r="E196" s="16">
        <f>E159</f>
        <v>0</v>
      </c>
      <c r="F196" s="16">
        <f aca="true" t="shared" si="68" ref="F196:G198">AE159</f>
        <v>0</v>
      </c>
      <c r="G196" s="16">
        <f t="shared" si="68"/>
        <v>0</v>
      </c>
      <c r="H196" s="16">
        <f>SUM(E196:G196)</f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25"/>
      <c r="B197" s="221" t="s">
        <v>48</v>
      </c>
      <c r="C197" s="222" t="s">
        <v>474</v>
      </c>
      <c r="D197" s="16" t="e">
        <f>SUM(#REF!)</f>
        <v>#REF!</v>
      </c>
      <c r="E197" s="16">
        <f>E160</f>
        <v>283118.04</v>
      </c>
      <c r="F197" s="16">
        <f t="shared" si="68"/>
        <v>57000</v>
      </c>
      <c r="G197" s="16">
        <f t="shared" si="68"/>
        <v>0</v>
      </c>
      <c r="H197" s="16">
        <f>SUM(E197:G197)</f>
        <v>340118.04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25"/>
      <c r="B198" s="26" t="s">
        <v>51</v>
      </c>
      <c r="C198" s="130" t="s">
        <v>473</v>
      </c>
      <c r="D198" s="16" t="e">
        <f>SUM(#REF!)</f>
        <v>#REF!</v>
      </c>
      <c r="E198" s="16">
        <f>E161</f>
        <v>665000</v>
      </c>
      <c r="F198" s="16">
        <f t="shared" si="68"/>
        <v>0</v>
      </c>
      <c r="G198" s="16">
        <f t="shared" si="68"/>
        <v>175000</v>
      </c>
      <c r="H198" s="16">
        <f>SUM(E198:G198)</f>
        <v>840000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35"/>
      <c r="B199" s="36">
        <v>3999</v>
      </c>
      <c r="C199" s="126" t="s">
        <v>29</v>
      </c>
      <c r="D199" s="17" t="e">
        <f>+D196+D197+D198</f>
        <v>#REF!</v>
      </c>
      <c r="E199" s="17">
        <f>+E196+E197+E198</f>
        <v>948118.04</v>
      </c>
      <c r="F199" s="17">
        <f>+F196+F197+F198</f>
        <v>57000</v>
      </c>
      <c r="G199" s="17">
        <f>+G196+G197+G198</f>
        <v>175000</v>
      </c>
      <c r="H199" s="17">
        <f>+H196+H197+H198</f>
        <v>1180118.04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80">
        <v>40</v>
      </c>
      <c r="B200" s="86" t="s">
        <v>127</v>
      </c>
      <c r="C200" s="127"/>
      <c r="D200" s="61"/>
      <c r="E200" s="61"/>
      <c r="F200" s="61"/>
      <c r="G200" s="61"/>
      <c r="H200" s="6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25"/>
      <c r="B201" s="225" t="s">
        <v>56</v>
      </c>
      <c r="C201" s="222" t="s">
        <v>476</v>
      </c>
      <c r="D201" s="16" t="e">
        <f>SUM(#REF!)</f>
        <v>#REF!</v>
      </c>
      <c r="E201" s="16">
        <f>E164</f>
        <v>49500</v>
      </c>
      <c r="F201" s="16">
        <f aca="true" t="shared" si="69" ref="F201:G203">AE164</f>
        <v>0</v>
      </c>
      <c r="G201" s="16">
        <f t="shared" si="69"/>
        <v>0</v>
      </c>
      <c r="H201" s="16">
        <f>SUM(E201:G201)</f>
        <v>49500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25"/>
      <c r="B202" s="225">
        <v>4200</v>
      </c>
      <c r="C202" s="222" t="s">
        <v>90</v>
      </c>
      <c r="D202" s="16" t="e">
        <f>SUM(#REF!)</f>
        <v>#REF!</v>
      </c>
      <c r="E202" s="16">
        <f>E165</f>
        <v>36660.58</v>
      </c>
      <c r="F202" s="16">
        <f t="shared" si="69"/>
        <v>0</v>
      </c>
      <c r="G202" s="16">
        <f t="shared" si="69"/>
        <v>0</v>
      </c>
      <c r="H202" s="16">
        <f>SUM(E202:G202)</f>
        <v>36660.58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25"/>
      <c r="B203" s="225">
        <v>4300</v>
      </c>
      <c r="C203" s="222" t="s">
        <v>477</v>
      </c>
      <c r="D203" s="16" t="e">
        <f>SUM(#REF!)</f>
        <v>#REF!</v>
      </c>
      <c r="E203" s="16">
        <f>E166</f>
        <v>6777</v>
      </c>
      <c r="F203" s="16">
        <f t="shared" si="69"/>
        <v>0</v>
      </c>
      <c r="G203" s="16">
        <f t="shared" si="69"/>
        <v>322180</v>
      </c>
      <c r="H203" s="16">
        <f>SUM(E203:G203)</f>
        <v>328957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35"/>
      <c r="B204" s="36">
        <v>4999</v>
      </c>
      <c r="C204" s="126" t="s">
        <v>29</v>
      </c>
      <c r="D204" s="17" t="e">
        <f>+D201+D202+D203</f>
        <v>#REF!</v>
      </c>
      <c r="E204" s="17">
        <f>+E201+E202+E203</f>
        <v>92937.58</v>
      </c>
      <c r="F204" s="17">
        <f>+F201+F202+F203</f>
        <v>0</v>
      </c>
      <c r="G204" s="17">
        <f>+G201+G202+G203</f>
        <v>322180</v>
      </c>
      <c r="H204" s="17">
        <f>+H201+H202+H203</f>
        <v>415117.58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80">
        <v>50</v>
      </c>
      <c r="B205" s="74" t="s">
        <v>69</v>
      </c>
      <c r="C205" s="127"/>
      <c r="D205" s="61"/>
      <c r="E205" s="61"/>
      <c r="F205" s="61"/>
      <c r="G205" s="61"/>
      <c r="H205" s="6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25"/>
      <c r="B206" s="223" t="s">
        <v>70</v>
      </c>
      <c r="C206" s="220" t="s">
        <v>107</v>
      </c>
      <c r="D206" s="16" t="e">
        <f>SUM(#REF!)</f>
        <v>#REF!</v>
      </c>
      <c r="E206" s="16">
        <f>E169</f>
        <v>51500</v>
      </c>
      <c r="F206" s="16">
        <f aca="true" t="shared" si="70" ref="F206:G209">AE169</f>
        <v>0</v>
      </c>
      <c r="G206" s="16">
        <f t="shared" si="70"/>
        <v>0</v>
      </c>
      <c r="H206" s="16">
        <f>SUM(E206:G206)</f>
        <v>51500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25"/>
      <c r="B207" s="225">
        <v>5200</v>
      </c>
      <c r="C207" s="222" t="s">
        <v>478</v>
      </c>
      <c r="D207" s="16" t="e">
        <f>SUM(#REF!)</f>
        <v>#REF!</v>
      </c>
      <c r="E207" s="16">
        <f>E170</f>
        <v>299825.2</v>
      </c>
      <c r="F207" s="16">
        <f t="shared" si="70"/>
        <v>0</v>
      </c>
      <c r="G207" s="16">
        <f t="shared" si="70"/>
        <v>0</v>
      </c>
      <c r="H207" s="16">
        <f>SUM(E207:G207)</f>
        <v>299825.2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25"/>
      <c r="B208" s="225">
        <v>5300</v>
      </c>
      <c r="C208" s="222" t="s">
        <v>124</v>
      </c>
      <c r="D208" s="16" t="e">
        <f>SUM(#REF!)</f>
        <v>#REF!</v>
      </c>
      <c r="E208" s="16">
        <f>E171</f>
        <v>93449.92000000001</v>
      </c>
      <c r="F208" s="16">
        <f>AE171</f>
        <v>0</v>
      </c>
      <c r="G208" s="16">
        <f>AF171</f>
        <v>0</v>
      </c>
      <c r="H208" s="16">
        <f>SUM(E208:G208)</f>
        <v>93449.92000000001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25"/>
      <c r="B209" s="226">
        <v>5400</v>
      </c>
      <c r="C209" s="130" t="s">
        <v>84</v>
      </c>
      <c r="D209" s="16" t="e">
        <f>SUM(#REF!)</f>
        <v>#REF!</v>
      </c>
      <c r="E209" s="16">
        <f>E172</f>
        <v>0</v>
      </c>
      <c r="F209" s="16">
        <f t="shared" si="70"/>
        <v>0</v>
      </c>
      <c r="G209" s="16">
        <f t="shared" si="70"/>
        <v>0</v>
      </c>
      <c r="H209" s="16">
        <f>SUM(E209:G209)</f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25"/>
      <c r="B210" s="225">
        <v>5500</v>
      </c>
      <c r="C210" s="222" t="s">
        <v>479</v>
      </c>
      <c r="D210" s="16" t="e">
        <f>SUM(#REF!)</f>
        <v>#REF!</v>
      </c>
      <c r="E210" s="16">
        <f>E173</f>
        <v>145000</v>
      </c>
      <c r="F210" s="16">
        <f>AE173</f>
        <v>0</v>
      </c>
      <c r="G210" s="16">
        <f>AF173</f>
        <v>0</v>
      </c>
      <c r="H210" s="16">
        <f>SUM(E210:G210)</f>
        <v>145000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35"/>
      <c r="B211" s="36">
        <v>5999</v>
      </c>
      <c r="C211" s="126" t="s">
        <v>29</v>
      </c>
      <c r="D211" s="17" t="e">
        <f>+D206+D207+D208+D209+D210</f>
        <v>#REF!</v>
      </c>
      <c r="E211" s="17">
        <f>+E206+E207+E208+E209+E210</f>
        <v>589775.12</v>
      </c>
      <c r="F211" s="17">
        <f>+F206+F207+F208+F209+F210</f>
        <v>0</v>
      </c>
      <c r="G211" s="17">
        <f>+G206+G207+G208+G209+G210</f>
        <v>0</v>
      </c>
      <c r="H211" s="17">
        <f>+H206+H207+H208+H209+H210</f>
        <v>589775.12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thickBot="1">
      <c r="A212" s="49"/>
      <c r="B212" s="50" t="s">
        <v>136</v>
      </c>
      <c r="C212" s="132"/>
      <c r="D212" s="24" t="e">
        <f>+D189+D194+D199+D204+D211</f>
        <v>#REF!</v>
      </c>
      <c r="E212" s="24">
        <f>+E189+E194+E199+E204+E211</f>
        <v>4951278.11191936</v>
      </c>
      <c r="F212" s="24">
        <f>+F189+F194+F199+F204+F211</f>
        <v>183000</v>
      </c>
      <c r="G212" s="24">
        <f>+G189+G194+G199+G204+G211</f>
        <v>732000</v>
      </c>
      <c r="H212" s="24">
        <f>+H189+H194+H199+H204+H211</f>
        <v>5866278.111919361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thickBot="1">
      <c r="A213" s="49"/>
      <c r="B213" s="50" t="s">
        <v>280</v>
      </c>
      <c r="C213" s="113"/>
      <c r="D213" s="24">
        <f>'detailed GEF budget BIS'!G196</f>
        <v>0</v>
      </c>
      <c r="E213" s="24">
        <f>E176</f>
        <v>396102.24895354884</v>
      </c>
      <c r="F213" s="24">
        <f>0</f>
        <v>0</v>
      </c>
      <c r="G213" s="24">
        <f>F213</f>
        <v>0</v>
      </c>
      <c r="H213" s="24">
        <f>SUM(E213:G213)</f>
        <v>396102.24895354884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thickBot="1">
      <c r="A214" s="49"/>
      <c r="B214" s="50" t="s">
        <v>281</v>
      </c>
      <c r="C214" s="113"/>
      <c r="D214" s="24">
        <f>'detailed GEF budget BIS'!G197</f>
        <v>0</v>
      </c>
      <c r="E214" s="24">
        <f>E213+E212</f>
        <v>5347380.360872909</v>
      </c>
      <c r="F214" s="24">
        <f>F213+F212</f>
        <v>183000</v>
      </c>
      <c r="G214" s="24">
        <f>G213+G212</f>
        <v>732000</v>
      </c>
      <c r="H214" s="24">
        <f>H213+H212</f>
        <v>6262380.36087291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7"/>
      <c r="B215" s="10"/>
      <c r="C215" s="13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thickBot="1">
      <c r="A216" s="7"/>
      <c r="B216" s="10"/>
      <c r="C216" s="13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5.5">
      <c r="A217" s="7"/>
      <c r="B217" s="10"/>
      <c r="C217" s="133"/>
      <c r="D217" s="1"/>
      <c r="E217" s="91" t="str">
        <f aca="true" t="shared" si="71" ref="E217:K217">E9</f>
        <v>GEF   funding</v>
      </c>
      <c r="F217" s="91" t="str">
        <f t="shared" si="71"/>
        <v>Cofinance   BENIN</v>
      </c>
      <c r="G217" s="91" t="str">
        <f t="shared" si="71"/>
        <v>Cofinance   BURKINA</v>
      </c>
      <c r="H217" s="91" t="str">
        <f t="shared" si="71"/>
        <v>Cofinance   RCI</v>
      </c>
      <c r="I217" s="91" t="str">
        <f t="shared" si="71"/>
        <v>Cofinance   GHANA</v>
      </c>
      <c r="J217" s="91" t="str">
        <f t="shared" si="71"/>
        <v>Cofinance   MALI</v>
      </c>
      <c r="K217" s="91" t="str">
        <f t="shared" si="71"/>
        <v>Cofinance   TOGO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7"/>
      <c r="B218" s="10"/>
      <c r="C218" s="229" t="s">
        <v>377</v>
      </c>
      <c r="D218" s="1"/>
      <c r="E218" s="16">
        <v>21000</v>
      </c>
      <c r="F218" s="16">
        <f aca="true" t="shared" si="72" ref="F218:K218">F45-F44+P45-P44</f>
        <v>174797.5</v>
      </c>
      <c r="G218" s="16">
        <f t="shared" si="72"/>
        <v>100000</v>
      </c>
      <c r="H218" s="16">
        <f t="shared" si="72"/>
        <v>360820</v>
      </c>
      <c r="I218" s="16">
        <f t="shared" si="72"/>
        <v>296040</v>
      </c>
      <c r="J218" s="16">
        <f t="shared" si="72"/>
        <v>101572.5</v>
      </c>
      <c r="K218" s="16">
        <f t="shared" si="72"/>
        <v>419450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6.5" thickBot="1">
      <c r="A219" s="7"/>
      <c r="B219" s="10"/>
      <c r="C219" s="227" t="s">
        <v>482</v>
      </c>
      <c r="D219" s="1"/>
      <c r="E219" s="16">
        <v>0</v>
      </c>
      <c r="F219" s="16">
        <f aca="true" t="shared" si="73" ref="F219:K219">F61+P61</f>
        <v>0</v>
      </c>
      <c r="G219" s="16">
        <f t="shared" si="73"/>
        <v>0</v>
      </c>
      <c r="H219" s="16">
        <f t="shared" si="73"/>
        <v>0</v>
      </c>
      <c r="I219" s="16">
        <f t="shared" si="73"/>
        <v>0</v>
      </c>
      <c r="J219" s="16">
        <f t="shared" si="73"/>
        <v>0</v>
      </c>
      <c r="K219" s="16">
        <f t="shared" si="73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6.5" thickBot="1">
      <c r="A220" s="7"/>
      <c r="B220" s="10"/>
      <c r="C220" s="227" t="s">
        <v>483</v>
      </c>
      <c r="D220" s="1"/>
      <c r="E220" s="16">
        <v>13600</v>
      </c>
      <c r="F220" s="16">
        <f aca="true" t="shared" si="74" ref="F220:K220">F84+P84</f>
        <v>156802.5</v>
      </c>
      <c r="G220" s="16">
        <f t="shared" si="74"/>
        <v>52000</v>
      </c>
      <c r="H220" s="16">
        <f t="shared" si="74"/>
        <v>232000</v>
      </c>
      <c r="I220" s="16">
        <f t="shared" si="74"/>
        <v>110560</v>
      </c>
      <c r="J220" s="16">
        <f t="shared" si="74"/>
        <v>71297.5</v>
      </c>
      <c r="K220" s="16">
        <f t="shared" si="74"/>
        <v>174006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6.5" thickBot="1">
      <c r="A221" s="7"/>
      <c r="B221" s="10"/>
      <c r="C221" s="227" t="s">
        <v>484</v>
      </c>
      <c r="D221" s="1"/>
      <c r="E221" s="16">
        <v>0</v>
      </c>
      <c r="F221" s="16">
        <f aca="true" t="shared" si="75" ref="F221:K221">F44+P44</f>
        <v>16500</v>
      </c>
      <c r="G221" s="16">
        <f t="shared" si="75"/>
        <v>20000</v>
      </c>
      <c r="H221" s="16">
        <f t="shared" si="75"/>
        <v>0</v>
      </c>
      <c r="I221" s="16">
        <f t="shared" si="75"/>
        <v>17000</v>
      </c>
      <c r="J221" s="16">
        <f t="shared" si="75"/>
        <v>0</v>
      </c>
      <c r="K221" s="16">
        <f t="shared" si="75"/>
        <v>40000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6.5" thickBot="1">
      <c r="A222" s="7"/>
      <c r="B222" s="10"/>
      <c r="C222" s="227" t="s">
        <v>485</v>
      </c>
      <c r="D222" s="1"/>
      <c r="E222" s="16">
        <v>1900</v>
      </c>
      <c r="F222" s="16">
        <f aca="true" t="shared" si="76" ref="F222:K222">F105+P105</f>
        <v>65600</v>
      </c>
      <c r="G222" s="16">
        <f t="shared" si="76"/>
        <v>45552.95</v>
      </c>
      <c r="H222" s="16">
        <f t="shared" si="76"/>
        <v>322180</v>
      </c>
      <c r="I222" s="16">
        <f t="shared" si="76"/>
        <v>245400</v>
      </c>
      <c r="J222" s="16">
        <f t="shared" si="76"/>
        <v>14700</v>
      </c>
      <c r="K222" s="16">
        <f t="shared" si="76"/>
        <v>176460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6.5" thickBot="1">
      <c r="A223" s="7"/>
      <c r="B223" s="10"/>
      <c r="C223" s="227" t="s">
        <v>486</v>
      </c>
      <c r="D223" s="1"/>
      <c r="E223" s="16"/>
      <c r="F223" s="16">
        <f aca="true" t="shared" si="77" ref="F223:K223">F135+P135</f>
        <v>4200</v>
      </c>
      <c r="G223" s="16">
        <f t="shared" si="77"/>
        <v>12000</v>
      </c>
      <c r="H223" s="16">
        <f t="shared" si="77"/>
        <v>0</v>
      </c>
      <c r="I223" s="16">
        <f t="shared" si="77"/>
        <v>21000</v>
      </c>
      <c r="J223" s="16">
        <f t="shared" si="77"/>
        <v>70000</v>
      </c>
      <c r="K223" s="16">
        <f t="shared" si="77"/>
        <v>10000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7"/>
      <c r="B224" s="10"/>
      <c r="C224" s="133"/>
      <c r="D224" s="1"/>
      <c r="E224" s="228">
        <f aca="true" t="shared" si="78" ref="E224:K224">SUM(E218:E223)</f>
        <v>36500</v>
      </c>
      <c r="F224" s="228">
        <f t="shared" si="78"/>
        <v>417900</v>
      </c>
      <c r="G224" s="228">
        <f t="shared" si="78"/>
        <v>229552.95</v>
      </c>
      <c r="H224" s="228">
        <f t="shared" si="78"/>
        <v>915000</v>
      </c>
      <c r="I224" s="228">
        <f t="shared" si="78"/>
        <v>690000</v>
      </c>
      <c r="J224" s="228">
        <f t="shared" si="78"/>
        <v>257570</v>
      </c>
      <c r="K224" s="228">
        <f t="shared" si="78"/>
        <v>819916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7"/>
      <c r="B225" s="10"/>
      <c r="C225" s="13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thickBot="1">
      <c r="A226" s="7"/>
      <c r="B226" s="10"/>
      <c r="C226" s="13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5.5">
      <c r="A227" s="7"/>
      <c r="B227" s="10"/>
      <c r="C227" s="133"/>
      <c r="D227" s="1"/>
      <c r="E227" s="91" t="s">
        <v>146</v>
      </c>
      <c r="F227" s="91" t="str">
        <f>G217</f>
        <v>Cofinance   BURKINA</v>
      </c>
      <c r="G227" s="91" t="s">
        <v>4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7"/>
      <c r="B228" s="10"/>
      <c r="C228" s="229" t="s">
        <v>377</v>
      </c>
      <c r="D228" s="1"/>
      <c r="E228" s="16">
        <v>21000</v>
      </c>
      <c r="F228" s="16">
        <f aca="true" t="shared" si="79" ref="F228:F233">G218</f>
        <v>100000</v>
      </c>
      <c r="G228" s="16">
        <f aca="true" t="shared" si="80" ref="G228:G233">E228+F228</f>
        <v>121000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6.5" thickBot="1">
      <c r="A229" s="7"/>
      <c r="B229" s="10"/>
      <c r="C229" s="227" t="s">
        <v>482</v>
      </c>
      <c r="D229" s="1"/>
      <c r="E229" s="16">
        <v>0</v>
      </c>
      <c r="F229" s="16">
        <f t="shared" si="79"/>
        <v>0</v>
      </c>
      <c r="G229" s="16">
        <f t="shared" si="80"/>
        <v>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6.5" thickBot="1">
      <c r="A230" s="7"/>
      <c r="B230" s="10"/>
      <c r="C230" s="227" t="s">
        <v>483</v>
      </c>
      <c r="D230" s="1"/>
      <c r="E230" s="16">
        <v>13600</v>
      </c>
      <c r="F230" s="16">
        <f t="shared" si="79"/>
        <v>52000</v>
      </c>
      <c r="G230" s="16">
        <f t="shared" si="80"/>
        <v>65600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6.5" thickBot="1">
      <c r="A231" s="7"/>
      <c r="B231" s="10"/>
      <c r="C231" s="227" t="s">
        <v>484</v>
      </c>
      <c r="D231" s="1"/>
      <c r="E231" s="16">
        <v>0</v>
      </c>
      <c r="F231" s="16">
        <f t="shared" si="79"/>
        <v>20000</v>
      </c>
      <c r="G231" s="16">
        <f t="shared" si="80"/>
        <v>20000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6.5" thickBot="1">
      <c r="A232" s="7"/>
      <c r="B232" s="10"/>
      <c r="C232" s="227" t="s">
        <v>485</v>
      </c>
      <c r="D232" s="1"/>
      <c r="E232" s="16">
        <v>1900</v>
      </c>
      <c r="F232" s="16">
        <f t="shared" si="79"/>
        <v>45552.95</v>
      </c>
      <c r="G232" s="16">
        <f t="shared" si="80"/>
        <v>47452.95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6.5" thickBot="1">
      <c r="A233" s="7"/>
      <c r="B233" s="10"/>
      <c r="C233" s="227" t="s">
        <v>486</v>
      </c>
      <c r="D233" s="1"/>
      <c r="E233" s="16">
        <v>0</v>
      </c>
      <c r="F233" s="16">
        <f t="shared" si="79"/>
        <v>12000</v>
      </c>
      <c r="G233" s="16">
        <f t="shared" si="80"/>
        <v>12000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7"/>
      <c r="B234" s="10"/>
      <c r="C234" s="133"/>
      <c r="D234" s="1"/>
      <c r="E234" s="228">
        <f>SUM(E228:E233)</f>
        <v>36500</v>
      </c>
      <c r="F234" s="228">
        <f>SUM(F228:F233)</f>
        <v>229552.95</v>
      </c>
      <c r="G234" s="228">
        <f>SUM(G228:G233)</f>
        <v>266052.95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7"/>
      <c r="B235" s="10"/>
      <c r="C235" s="13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7"/>
      <c r="B236" s="10"/>
      <c r="C236" s="13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7"/>
      <c r="B237" s="10"/>
      <c r="C237" s="13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7"/>
      <c r="B238" s="10"/>
      <c r="C238" s="13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7"/>
      <c r="B239" s="10"/>
      <c r="D239" s="1"/>
      <c r="E239" s="1" t="s">
        <v>504</v>
      </c>
      <c r="F239" s="1" t="s">
        <v>505</v>
      </c>
      <c r="G239" s="1" t="s">
        <v>4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7"/>
      <c r="B240" s="10"/>
      <c r="C240" s="133" t="s">
        <v>500</v>
      </c>
      <c r="D240" s="1"/>
      <c r="E240" s="1">
        <v>177450</v>
      </c>
      <c r="F240">
        <v>9456</v>
      </c>
      <c r="G240" s="16">
        <f>E240+F240</f>
        <v>186906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7"/>
      <c r="B241" s="10"/>
      <c r="C241" s="133" t="s">
        <v>501</v>
      </c>
      <c r="D241" s="1"/>
      <c r="E241" s="1">
        <v>200000</v>
      </c>
      <c r="F241">
        <v>12000</v>
      </c>
      <c r="G241" s="16">
        <f>E241+F241</f>
        <v>212000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7"/>
      <c r="B242" s="10"/>
      <c r="C242" s="133" t="s">
        <v>502</v>
      </c>
      <c r="D242" s="1"/>
      <c r="E242" s="1">
        <f>E241</f>
        <v>200000</v>
      </c>
      <c r="F242">
        <f>F241</f>
        <v>12000</v>
      </c>
      <c r="G242" s="16">
        <f>E242+F242</f>
        <v>212000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7"/>
      <c r="B243" s="10"/>
      <c r="C243" s="133" t="s">
        <v>503</v>
      </c>
      <c r="D243" s="1"/>
      <c r="E243" s="1">
        <f>E242</f>
        <v>200000</v>
      </c>
      <c r="F243">
        <f>F242</f>
        <v>12000</v>
      </c>
      <c r="G243" s="16">
        <f>E243+F243</f>
        <v>212000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7"/>
      <c r="B244" s="10"/>
      <c r="C244" s="133" t="s">
        <v>4</v>
      </c>
      <c r="D244" s="1"/>
      <c r="E244" s="1">
        <f>SUM(E240:E243)</f>
        <v>777450</v>
      </c>
      <c r="F244" s="1">
        <f>SUM(F240:F243)</f>
        <v>45456</v>
      </c>
      <c r="G244" s="1">
        <f>SUM(G240:G243)</f>
        <v>822906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7"/>
      <c r="B245" s="10"/>
      <c r="C245" s="13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7"/>
      <c r="B246" s="10"/>
      <c r="C246" s="13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7"/>
      <c r="B247" s="10"/>
      <c r="C247" s="13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7"/>
      <c r="B248" s="10"/>
      <c r="C248" s="13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7"/>
      <c r="B249" s="10"/>
      <c r="C249" s="13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7"/>
      <c r="B250" s="10"/>
      <c r="C250" s="13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7"/>
      <c r="B251" s="10"/>
      <c r="C251" s="13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7"/>
      <c r="B252" s="10"/>
      <c r="C252" s="13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7"/>
      <c r="B253" s="10"/>
      <c r="C253" s="13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7"/>
      <c r="B254" s="10"/>
      <c r="C254" s="13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7"/>
      <c r="B255" s="10"/>
      <c r="C255" s="13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7"/>
      <c r="B256" s="10"/>
      <c r="C256" s="13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7"/>
      <c r="B257" s="10"/>
      <c r="C257" s="13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7"/>
      <c r="B258" s="10"/>
      <c r="C258" s="13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7"/>
      <c r="B259" s="10"/>
      <c r="C259" s="13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7"/>
      <c r="B260" s="10"/>
      <c r="C260" s="13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7"/>
      <c r="B261" s="10"/>
      <c r="C261" s="13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7"/>
      <c r="B262" s="10"/>
      <c r="C262" s="1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7"/>
      <c r="B263" s="10"/>
      <c r="C263" s="13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7"/>
      <c r="B264" s="10"/>
      <c r="C264" s="13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7"/>
      <c r="B265" s="10"/>
      <c r="C265" s="13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7"/>
      <c r="B266" s="10"/>
      <c r="C266" s="13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7"/>
      <c r="B267" s="10"/>
      <c r="C267" s="13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7"/>
      <c r="B268" s="10"/>
      <c r="C268" s="13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7"/>
      <c r="B269" s="10"/>
      <c r="C269" s="13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7"/>
      <c r="B270" s="10"/>
      <c r="C270" s="13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7"/>
      <c r="B271" s="10"/>
      <c r="C271" s="13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7"/>
      <c r="B272" s="10"/>
      <c r="C272" s="13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7"/>
      <c r="B273" s="10"/>
      <c r="C273" s="13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7"/>
      <c r="B274" s="10"/>
      <c r="C274" s="13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7"/>
      <c r="B275" s="10"/>
      <c r="C275" s="13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7"/>
      <c r="B276" s="10"/>
      <c r="C276" s="13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7"/>
      <c r="B277" s="10"/>
      <c r="C277" s="13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7"/>
      <c r="B278" s="10"/>
      <c r="C278" s="13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7"/>
      <c r="B279" s="10"/>
      <c r="C279" s="13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7"/>
      <c r="B280" s="10"/>
      <c r="C280" s="13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7"/>
      <c r="B281" s="10"/>
      <c r="C281" s="13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7"/>
      <c r="B282" s="10"/>
      <c r="C282" s="13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7"/>
      <c r="B283" s="10"/>
      <c r="C283" s="13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7"/>
      <c r="B284" s="10"/>
      <c r="C284" s="13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7"/>
      <c r="B285" s="10"/>
      <c r="C285" s="13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7"/>
      <c r="B286" s="10"/>
      <c r="C286" s="13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7"/>
      <c r="B287" s="10"/>
      <c r="C287" s="13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7"/>
      <c r="B288" s="10"/>
      <c r="C288" s="13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7"/>
      <c r="B289" s="10"/>
      <c r="C289" s="13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7"/>
      <c r="B290" s="10"/>
      <c r="C290" s="13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7"/>
      <c r="B291" s="10"/>
      <c r="C291" s="13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7"/>
      <c r="B292" s="10"/>
      <c r="C292" s="13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7"/>
      <c r="B293" s="10"/>
      <c r="C293" s="13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7"/>
      <c r="B294" s="10"/>
      <c r="C294" s="13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7"/>
      <c r="B295" s="10"/>
      <c r="C295" s="13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7"/>
      <c r="B296" s="10"/>
      <c r="C296" s="13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7"/>
      <c r="B297" s="10"/>
      <c r="C297" s="13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7"/>
      <c r="B298" s="10"/>
      <c r="C298" s="13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7"/>
      <c r="B299" s="10"/>
      <c r="C299" s="13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7"/>
      <c r="B300" s="10"/>
      <c r="C300" s="13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7"/>
      <c r="B301" s="10"/>
      <c r="C301" s="13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7"/>
      <c r="B302" s="10"/>
      <c r="C302" s="13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7"/>
      <c r="B303" s="10"/>
      <c r="C303" s="13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7"/>
      <c r="B304" s="10"/>
      <c r="C304" s="13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7"/>
      <c r="B305" s="10"/>
      <c r="C305" s="13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7"/>
      <c r="B306" s="10"/>
      <c r="C306" s="13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7"/>
      <c r="B307" s="10"/>
      <c r="C307" s="13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</sheetData>
  <mergeCells count="4">
    <mergeCell ref="A11:C11"/>
    <mergeCell ref="A1:O1"/>
    <mergeCell ref="A145:C145"/>
    <mergeCell ref="A182:C182"/>
  </mergeCells>
  <printOptions horizontalCentered="1"/>
  <pageMargins left="0.5" right="0.5" top="0.75" bottom="0.75" header="0.2" footer="0.2"/>
  <pageSetup horizontalDpi="300" verticalDpi="300" orientation="landscape" paperSize="9" scale="90" r:id="rId1"/>
  <headerFooter alignWithMargins="0">
    <oddFooter>&amp;C&amp;"Times New Roman,Regular"Page &amp;P of &amp;N</oddFooter>
  </headerFooter>
  <rowBreaks count="2" manualBreakCount="2">
    <brk id="61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24"/>
  <sheetViews>
    <sheetView showGridLines="0" zoomScale="140" zoomScaleNormal="140" workbookViewId="0" topLeftCell="A19">
      <selection activeCell="E24" sqref="E24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  <col min="11" max="16384" width="11.59765625" style="0" customWidth="1"/>
  </cols>
  <sheetData>
    <row r="1" spans="1:10" s="3" customFormat="1" ht="30.75" customHeight="1">
      <c r="A1" s="294" t="s">
        <v>144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10" s="3" customFormat="1" ht="14.25">
      <c r="A3" s="43" t="s">
        <v>3</v>
      </c>
      <c r="B3" s="9"/>
      <c r="C3" s="167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2" t="s">
        <v>225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224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0" s="94" customFormat="1" ht="46.5" customHeight="1">
      <c r="A9" s="90"/>
      <c r="B9" s="90"/>
      <c r="C9" s="116"/>
      <c r="D9" s="137" t="s">
        <v>4</v>
      </c>
      <c r="E9" s="137" t="s">
        <v>228</v>
      </c>
      <c r="F9" s="137" t="s">
        <v>229</v>
      </c>
      <c r="G9" s="138" t="s">
        <v>230</v>
      </c>
      <c r="H9" s="138" t="s">
        <v>230</v>
      </c>
      <c r="I9" s="138" t="s">
        <v>588</v>
      </c>
      <c r="J9" s="93" t="s">
        <v>4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231</v>
      </c>
      <c r="H10" s="140" t="s">
        <v>289</v>
      </c>
      <c r="I10" s="140" t="s">
        <v>143</v>
      </c>
      <c r="J10" s="88"/>
    </row>
    <row r="11" spans="1:10" s="14" customFormat="1" ht="12.75" customHeight="1" thickBot="1">
      <c r="A11" s="288" t="s">
        <v>133</v>
      </c>
      <c r="B11" s="289"/>
      <c r="C11" s="290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0" s="3" customFormat="1" ht="25.5">
      <c r="A15" s="25"/>
      <c r="B15" s="26" t="s">
        <v>8</v>
      </c>
      <c r="C15" s="121" t="s">
        <v>607</v>
      </c>
      <c r="D15" s="147"/>
      <c r="E15" s="147">
        <v>3000</v>
      </c>
      <c r="F15" s="147"/>
      <c r="G15" s="147"/>
      <c r="H15" s="147">
        <v>6000</v>
      </c>
      <c r="I15" s="147"/>
      <c r="J15" s="23">
        <f>SUM(E15:I15)</f>
        <v>9000</v>
      </c>
    </row>
    <row r="16" spans="1:10" s="3" customFormat="1" ht="25.5">
      <c r="A16" s="25"/>
      <c r="B16" s="26" t="s">
        <v>9</v>
      </c>
      <c r="C16" s="121" t="s">
        <v>608</v>
      </c>
      <c r="D16" s="147"/>
      <c r="E16" s="286"/>
      <c r="F16" s="147"/>
      <c r="G16" s="147"/>
      <c r="H16" s="147">
        <v>6000</v>
      </c>
      <c r="I16" s="147"/>
      <c r="J16" s="23">
        <f>SUM(E16:I16)</f>
        <v>6000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3000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15000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1" t="s">
        <v>272</v>
      </c>
      <c r="D20" s="150"/>
      <c r="E20" s="150"/>
      <c r="F20" s="150">
        <v>2881.87</v>
      </c>
      <c r="G20" s="150"/>
      <c r="H20" s="150">
        <v>3000</v>
      </c>
      <c r="I20" s="150"/>
      <c r="J20" s="23">
        <f>SUM(F20:I20)</f>
        <v>5881.87</v>
      </c>
    </row>
    <row r="21" spans="1:10" s="3" customFormat="1" ht="12.75">
      <c r="A21" s="25"/>
      <c r="B21" s="26" t="s">
        <v>13</v>
      </c>
      <c r="C21" s="121" t="s">
        <v>273</v>
      </c>
      <c r="D21" s="150"/>
      <c r="E21" s="150"/>
      <c r="F21" s="150">
        <v>2881.87</v>
      </c>
      <c r="G21" s="150"/>
      <c r="H21" s="150">
        <v>3000</v>
      </c>
      <c r="I21" s="150"/>
      <c r="J21" s="23">
        <f>SUM(F21:I21)</f>
        <v>5881.87</v>
      </c>
    </row>
    <row r="22" spans="1:10" s="3" customFormat="1" ht="25.5">
      <c r="A22" s="25"/>
      <c r="B22" s="26" t="s">
        <v>14</v>
      </c>
      <c r="C22" s="121" t="s">
        <v>612</v>
      </c>
      <c r="D22" s="150"/>
      <c r="E22" s="150">
        <v>3000</v>
      </c>
      <c r="F22" s="150"/>
      <c r="G22" s="150">
        <v>5000</v>
      </c>
      <c r="H22" s="150"/>
      <c r="I22" s="150"/>
      <c r="J22" s="23">
        <f>SUM(E22:I22)</f>
        <v>8000</v>
      </c>
    </row>
    <row r="23" spans="1:10" s="3" customFormat="1" ht="38.25">
      <c r="A23" s="25"/>
      <c r="B23" s="26" t="s">
        <v>153</v>
      </c>
      <c r="C23" s="121" t="s">
        <v>609</v>
      </c>
      <c r="D23" s="150"/>
      <c r="E23" s="150">
        <v>3000</v>
      </c>
      <c r="F23" s="150"/>
      <c r="G23" s="150">
        <v>5000</v>
      </c>
      <c r="H23" s="150"/>
      <c r="I23" s="150"/>
      <c r="J23" s="23">
        <f aca="true" t="shared" si="1" ref="J23:J28">SUM(E23:I23)</f>
        <v>8000</v>
      </c>
    </row>
    <row r="24" spans="1:10" s="3" customFormat="1" ht="25.5">
      <c r="A24" s="25"/>
      <c r="B24" s="26" t="s">
        <v>154</v>
      </c>
      <c r="C24" s="121" t="s">
        <v>613</v>
      </c>
      <c r="D24" s="150"/>
      <c r="E24" s="150">
        <v>3000</v>
      </c>
      <c r="F24" s="150"/>
      <c r="G24" s="150"/>
      <c r="H24" s="150"/>
      <c r="I24" s="150"/>
      <c r="J24" s="23">
        <f t="shared" si="1"/>
        <v>3000</v>
      </c>
    </row>
    <row r="25" spans="1:10" s="3" customFormat="1" ht="38.25">
      <c r="A25" s="25"/>
      <c r="B25" s="26" t="s">
        <v>155</v>
      </c>
      <c r="C25" s="121" t="s">
        <v>277</v>
      </c>
      <c r="D25" s="150"/>
      <c r="E25" s="150">
        <v>3000</v>
      </c>
      <c r="F25" s="150"/>
      <c r="G25" s="150"/>
      <c r="H25" s="150"/>
      <c r="I25" s="150"/>
      <c r="J25" s="23">
        <f t="shared" si="1"/>
        <v>3000</v>
      </c>
    </row>
    <row r="26" spans="1:10" s="3" customFormat="1" ht="25.5">
      <c r="A26" s="25"/>
      <c r="B26" s="26" t="s">
        <v>156</v>
      </c>
      <c r="C26" s="121" t="s">
        <v>610</v>
      </c>
      <c r="D26" s="150"/>
      <c r="E26" s="150">
        <v>3000</v>
      </c>
      <c r="F26" s="150"/>
      <c r="G26" s="150"/>
      <c r="H26" s="150"/>
      <c r="I26" s="150"/>
      <c r="J26" s="23">
        <f t="shared" si="1"/>
        <v>3000</v>
      </c>
    </row>
    <row r="27" spans="1:10" s="3" customFormat="1" ht="38.25">
      <c r="A27" s="25"/>
      <c r="B27" s="26" t="s">
        <v>157</v>
      </c>
      <c r="C27" s="121" t="s">
        <v>611</v>
      </c>
      <c r="D27" s="150"/>
      <c r="E27" s="150">
        <v>4000</v>
      </c>
      <c r="F27" s="150"/>
      <c r="G27" s="150"/>
      <c r="H27" s="150"/>
      <c r="I27" s="150"/>
      <c r="J27" s="23">
        <f>SUM(E27:I27)</f>
        <v>4000</v>
      </c>
    </row>
    <row r="28" spans="1:10" s="3" customFormat="1" ht="51">
      <c r="A28" s="25"/>
      <c r="B28" s="26" t="s">
        <v>158</v>
      </c>
      <c r="C28" s="121" t="s">
        <v>601</v>
      </c>
      <c r="D28" s="150"/>
      <c r="E28" s="150">
        <v>8000</v>
      </c>
      <c r="F28" s="150"/>
      <c r="G28" s="150">
        <v>2000</v>
      </c>
      <c r="H28" s="150">
        <v>2000</v>
      </c>
      <c r="I28" s="150"/>
      <c r="J28" s="23">
        <f t="shared" si="1"/>
        <v>12000</v>
      </c>
    </row>
    <row r="29" spans="1:10" s="3" customFormat="1" ht="12.75">
      <c r="A29" s="25"/>
      <c r="B29" s="39" t="s">
        <v>15</v>
      </c>
      <c r="C29" s="121" t="s">
        <v>138</v>
      </c>
      <c r="D29" s="148">
        <f aca="true" t="shared" si="2" ref="D29:J29">SUM(D20:D28)</f>
        <v>0</v>
      </c>
      <c r="E29" s="148">
        <f t="shared" si="2"/>
        <v>27000</v>
      </c>
      <c r="F29" s="148">
        <f t="shared" si="2"/>
        <v>5763.74</v>
      </c>
      <c r="G29" s="148">
        <f t="shared" si="2"/>
        <v>12000</v>
      </c>
      <c r="H29" s="148">
        <f t="shared" si="2"/>
        <v>8000</v>
      </c>
      <c r="I29" s="148">
        <f t="shared" si="2"/>
        <v>0</v>
      </c>
      <c r="J29" s="23">
        <f t="shared" si="2"/>
        <v>52763.74</v>
      </c>
    </row>
    <row r="30" spans="1:10" s="3" customFormat="1" ht="12.75">
      <c r="A30" s="59"/>
      <c r="B30" s="66" t="s">
        <v>16</v>
      </c>
      <c r="C30" s="123" t="s">
        <v>95</v>
      </c>
      <c r="D30" s="149"/>
      <c r="E30" s="149"/>
      <c r="F30" s="149"/>
      <c r="G30" s="149"/>
      <c r="H30" s="149"/>
      <c r="I30" s="149"/>
      <c r="J30" s="62"/>
    </row>
    <row r="31" spans="1:10" s="3" customFormat="1" ht="12.75">
      <c r="A31" s="54"/>
      <c r="B31" s="67"/>
      <c r="C31" s="119" t="s">
        <v>113</v>
      </c>
      <c r="D31" s="145"/>
      <c r="E31" s="145"/>
      <c r="F31" s="145"/>
      <c r="G31" s="145"/>
      <c r="H31" s="145"/>
      <c r="I31" s="145"/>
      <c r="J31" s="57"/>
    </row>
    <row r="32" spans="1:10" s="3" customFormat="1" ht="12.75">
      <c r="A32" s="25"/>
      <c r="B32" s="39" t="s">
        <v>17</v>
      </c>
      <c r="C32" s="121" t="s">
        <v>602</v>
      </c>
      <c r="D32" s="147"/>
      <c r="E32" s="147"/>
      <c r="F32" s="147"/>
      <c r="G32" s="147"/>
      <c r="H32" s="147">
        <v>2000</v>
      </c>
      <c r="I32" s="147"/>
      <c r="J32" s="23">
        <f>SUM(E32:I32)</f>
        <v>2000</v>
      </c>
    </row>
    <row r="33" spans="1:10" s="3" customFormat="1" ht="12.75">
      <c r="A33" s="25"/>
      <c r="B33" s="39" t="s">
        <v>18</v>
      </c>
      <c r="C33" s="121"/>
      <c r="D33" s="147"/>
      <c r="E33" s="147"/>
      <c r="F33" s="147"/>
      <c r="G33" s="147"/>
      <c r="H33" s="147"/>
      <c r="I33" s="147"/>
      <c r="J33" s="23">
        <f>SUM(E33:I33)</f>
        <v>0</v>
      </c>
    </row>
    <row r="34" spans="1:10" s="3" customFormat="1" ht="12.75">
      <c r="A34" s="25"/>
      <c r="B34" s="39" t="s">
        <v>19</v>
      </c>
      <c r="C34" s="121"/>
      <c r="D34" s="147"/>
      <c r="E34" s="147"/>
      <c r="F34" s="147"/>
      <c r="G34" s="147"/>
      <c r="H34" s="147"/>
      <c r="I34" s="147"/>
      <c r="J34" s="23">
        <f>SUM(E34:I34)</f>
        <v>0</v>
      </c>
    </row>
    <row r="35" spans="1:10" s="3" customFormat="1" ht="12.75">
      <c r="A35" s="25"/>
      <c r="B35" s="39" t="s">
        <v>20</v>
      </c>
      <c r="C35" s="121" t="s">
        <v>138</v>
      </c>
      <c r="D35" s="148">
        <f aca="true" t="shared" si="3" ref="D35:J35">SUM(D32:D34)</f>
        <v>0</v>
      </c>
      <c r="E35" s="148">
        <f t="shared" si="3"/>
        <v>0</v>
      </c>
      <c r="F35" s="148">
        <f t="shared" si="3"/>
        <v>0</v>
      </c>
      <c r="G35" s="148">
        <f t="shared" si="3"/>
        <v>0</v>
      </c>
      <c r="H35" s="148">
        <f t="shared" si="3"/>
        <v>2000</v>
      </c>
      <c r="I35" s="148">
        <f t="shared" si="3"/>
        <v>0</v>
      </c>
      <c r="J35" s="23">
        <f t="shared" si="3"/>
        <v>2000</v>
      </c>
    </row>
    <row r="36" spans="1:10" s="3" customFormat="1" ht="12.75">
      <c r="A36" s="25"/>
      <c r="B36" s="40" t="s">
        <v>21</v>
      </c>
      <c r="C36" s="125" t="s">
        <v>110</v>
      </c>
      <c r="D36" s="150"/>
      <c r="E36" s="150"/>
      <c r="F36" s="150"/>
      <c r="G36" s="150"/>
      <c r="H36" s="150"/>
      <c r="I36" s="150"/>
      <c r="J36" s="34"/>
    </row>
    <row r="37" spans="1:10" s="3" customFormat="1" ht="12.75">
      <c r="A37" s="25"/>
      <c r="B37" s="39" t="s">
        <v>22</v>
      </c>
      <c r="C37" s="124"/>
      <c r="D37" s="150"/>
      <c r="E37" s="150"/>
      <c r="F37" s="150"/>
      <c r="G37" s="150"/>
      <c r="H37" s="150"/>
      <c r="I37" s="150"/>
      <c r="J37" s="23">
        <f>SUM(E37:I37)</f>
        <v>0</v>
      </c>
    </row>
    <row r="38" spans="1:10" s="3" customFormat="1" ht="12.75">
      <c r="A38" s="25"/>
      <c r="B38" s="39" t="s">
        <v>23</v>
      </c>
      <c r="C38" s="124"/>
      <c r="D38" s="150"/>
      <c r="E38" s="150"/>
      <c r="F38" s="150"/>
      <c r="G38" s="150"/>
      <c r="H38" s="150"/>
      <c r="I38" s="150"/>
      <c r="J38" s="23">
        <f>SUM(E38:I38)</f>
        <v>0</v>
      </c>
    </row>
    <row r="39" spans="1:10" s="3" customFormat="1" ht="12.75">
      <c r="A39" s="25"/>
      <c r="B39" s="39" t="s">
        <v>111</v>
      </c>
      <c r="C39" s="124"/>
      <c r="D39" s="150"/>
      <c r="E39" s="150"/>
      <c r="F39" s="150"/>
      <c r="G39" s="150"/>
      <c r="H39" s="150"/>
      <c r="I39" s="150"/>
      <c r="J39" s="23">
        <f>SUM(E39:I39)</f>
        <v>0</v>
      </c>
    </row>
    <row r="40" spans="1:10" s="3" customFormat="1" ht="12.75">
      <c r="A40" s="25"/>
      <c r="B40" s="39" t="s">
        <v>24</v>
      </c>
      <c r="C40" s="121" t="s">
        <v>138</v>
      </c>
      <c r="D40" s="148">
        <f aca="true" t="shared" si="4" ref="D40:J40">SUM(D37:D39)</f>
        <v>0</v>
      </c>
      <c r="E40" s="148">
        <f t="shared" si="4"/>
        <v>0</v>
      </c>
      <c r="F40" s="148">
        <f t="shared" si="4"/>
        <v>0</v>
      </c>
      <c r="G40" s="148">
        <f t="shared" si="4"/>
        <v>0</v>
      </c>
      <c r="H40" s="148">
        <f t="shared" si="4"/>
        <v>0</v>
      </c>
      <c r="I40" s="148">
        <f t="shared" si="4"/>
        <v>0</v>
      </c>
      <c r="J40" s="23">
        <f t="shared" si="4"/>
        <v>0</v>
      </c>
    </row>
    <row r="41" spans="1:10" s="3" customFormat="1" ht="12.75">
      <c r="A41" s="25"/>
      <c r="B41" s="40" t="s">
        <v>25</v>
      </c>
      <c r="C41" s="125" t="s">
        <v>91</v>
      </c>
      <c r="D41" s="150"/>
      <c r="E41" s="150"/>
      <c r="F41" s="150"/>
      <c r="G41" s="150"/>
      <c r="H41" s="150"/>
      <c r="I41" s="150"/>
      <c r="J41" s="34"/>
    </row>
    <row r="42" spans="1:10" s="3" customFormat="1" ht="12.75">
      <c r="A42" s="25"/>
      <c r="B42" s="39" t="s">
        <v>26</v>
      </c>
      <c r="C42" s="121" t="s">
        <v>603</v>
      </c>
      <c r="D42" s="150"/>
      <c r="E42" s="150">
        <v>12000</v>
      </c>
      <c r="F42" s="150"/>
      <c r="G42" s="150"/>
      <c r="H42" s="150">
        <v>1000</v>
      </c>
      <c r="I42" s="150"/>
      <c r="J42" s="23">
        <f>SUM(E42:I42)</f>
        <v>13000</v>
      </c>
    </row>
    <row r="43" spans="1:10" s="3" customFormat="1" ht="25.5">
      <c r="A43" s="25"/>
      <c r="B43" s="39" t="s">
        <v>27</v>
      </c>
      <c r="C43" s="121" t="s">
        <v>606</v>
      </c>
      <c r="D43" s="150"/>
      <c r="E43" s="150">
        <v>25100</v>
      </c>
      <c r="F43" s="150">
        <v>10000</v>
      </c>
      <c r="G43" s="150">
        <v>3000</v>
      </c>
      <c r="H43" s="150">
        <v>6000</v>
      </c>
      <c r="I43" s="150"/>
      <c r="J43" s="23">
        <f>SUM(F43:I43)</f>
        <v>19000</v>
      </c>
    </row>
    <row r="44" spans="1:10" s="3" customFormat="1" ht="12.75">
      <c r="A44" s="25"/>
      <c r="B44" s="39" t="s">
        <v>28</v>
      </c>
      <c r="C44" s="121" t="s">
        <v>138</v>
      </c>
      <c r="D44" s="148">
        <f aca="true" t="shared" si="5" ref="D44:J44">SUM(D42:D43)</f>
        <v>0</v>
      </c>
      <c r="E44" s="148">
        <f t="shared" si="5"/>
        <v>37100</v>
      </c>
      <c r="F44" s="148">
        <f t="shared" si="5"/>
        <v>10000</v>
      </c>
      <c r="G44" s="148">
        <f t="shared" si="5"/>
        <v>3000</v>
      </c>
      <c r="H44" s="148">
        <f t="shared" si="5"/>
        <v>7000</v>
      </c>
      <c r="I44" s="148">
        <f t="shared" si="5"/>
        <v>0</v>
      </c>
      <c r="J44" s="23">
        <f t="shared" si="5"/>
        <v>32000</v>
      </c>
    </row>
    <row r="45" spans="1:10" s="3" customFormat="1" ht="12.75">
      <c r="A45" s="35"/>
      <c r="B45" s="36">
        <v>1999</v>
      </c>
      <c r="C45" s="126" t="s">
        <v>29</v>
      </c>
      <c r="D45" s="148">
        <f aca="true" t="shared" si="6" ref="D45:J45">+D17+D29+D35+D40+D44</f>
        <v>0</v>
      </c>
      <c r="E45" s="148">
        <f t="shared" si="6"/>
        <v>67100</v>
      </c>
      <c r="F45" s="148">
        <f t="shared" si="6"/>
        <v>15763.74</v>
      </c>
      <c r="G45" s="148">
        <f t="shared" si="6"/>
        <v>15000</v>
      </c>
      <c r="H45" s="148">
        <f t="shared" si="6"/>
        <v>29000</v>
      </c>
      <c r="I45" s="148">
        <f t="shared" si="6"/>
        <v>0</v>
      </c>
      <c r="J45" s="23">
        <f t="shared" si="6"/>
        <v>101763.73999999999</v>
      </c>
    </row>
    <row r="46" spans="1:10" s="3" customFormat="1" ht="12.75">
      <c r="A46" s="80">
        <v>20</v>
      </c>
      <c r="B46" s="74" t="s">
        <v>104</v>
      </c>
      <c r="C46" s="127"/>
      <c r="D46" s="149"/>
      <c r="E46" s="149"/>
      <c r="F46" s="149"/>
      <c r="G46" s="149"/>
      <c r="H46" s="149"/>
      <c r="I46" s="149"/>
      <c r="J46" s="62"/>
    </row>
    <row r="47" spans="1:10" s="3" customFormat="1" ht="12.75">
      <c r="A47" s="22"/>
      <c r="B47" s="76" t="s">
        <v>30</v>
      </c>
      <c r="C47" s="118" t="s">
        <v>115</v>
      </c>
      <c r="D47" s="151"/>
      <c r="E47" s="151"/>
      <c r="F47" s="151"/>
      <c r="G47" s="151"/>
      <c r="H47" s="151"/>
      <c r="I47" s="151"/>
      <c r="J47" s="82"/>
    </row>
    <row r="48" spans="1:10" s="3" customFormat="1" ht="12.75">
      <c r="A48" s="54"/>
      <c r="B48" s="55"/>
      <c r="C48" s="119" t="s">
        <v>116</v>
      </c>
      <c r="D48" s="152"/>
      <c r="E48" s="152"/>
      <c r="F48" s="152"/>
      <c r="G48" s="152"/>
      <c r="H48" s="152"/>
      <c r="I48" s="152"/>
      <c r="J48" s="65"/>
    </row>
    <row r="49" spans="1:10" s="3" customFormat="1" ht="12.75">
      <c r="A49" s="25"/>
      <c r="B49" s="26" t="s">
        <v>31</v>
      </c>
      <c r="C49" s="120"/>
      <c r="D49" s="147"/>
      <c r="E49" s="147"/>
      <c r="F49" s="147"/>
      <c r="G49" s="147"/>
      <c r="H49" s="147"/>
      <c r="I49" s="147"/>
      <c r="J49" s="23">
        <f>SUM(E49:I49)</f>
        <v>0</v>
      </c>
    </row>
    <row r="50" spans="1:10" s="3" customFormat="1" ht="12.75">
      <c r="A50" s="25"/>
      <c r="B50" s="39" t="s">
        <v>32</v>
      </c>
      <c r="C50" s="121" t="s">
        <v>138</v>
      </c>
      <c r="D50" s="148">
        <f aca="true" t="shared" si="7" ref="D50:J50">SUM(D49:D49)</f>
        <v>0</v>
      </c>
      <c r="E50" s="148">
        <f t="shared" si="7"/>
        <v>0</v>
      </c>
      <c r="F50" s="148">
        <f t="shared" si="7"/>
        <v>0</v>
      </c>
      <c r="G50" s="148">
        <f t="shared" si="7"/>
        <v>0</v>
      </c>
      <c r="H50" s="148">
        <f t="shared" si="7"/>
        <v>0</v>
      </c>
      <c r="I50" s="148">
        <f t="shared" si="7"/>
        <v>0</v>
      </c>
      <c r="J50" s="23">
        <f t="shared" si="7"/>
        <v>0</v>
      </c>
    </row>
    <row r="51" spans="1:10" s="3" customFormat="1" ht="12.75">
      <c r="A51" s="59"/>
      <c r="B51" s="66" t="s">
        <v>33</v>
      </c>
      <c r="C51" s="122" t="s">
        <v>117</v>
      </c>
      <c r="D51" s="153"/>
      <c r="E51" s="153"/>
      <c r="F51" s="153"/>
      <c r="G51" s="153"/>
      <c r="H51" s="153"/>
      <c r="I51" s="153"/>
      <c r="J51" s="64"/>
    </row>
    <row r="52" spans="1:10" s="3" customFormat="1" ht="12.75">
      <c r="A52" s="54"/>
      <c r="B52" s="67"/>
      <c r="C52" s="128" t="s">
        <v>118</v>
      </c>
      <c r="D52" s="152"/>
      <c r="E52" s="152"/>
      <c r="F52" s="152"/>
      <c r="G52" s="152"/>
      <c r="H52" s="152"/>
      <c r="I52" s="152"/>
      <c r="J52" s="65"/>
    </row>
    <row r="53" spans="1:10" s="3" customFormat="1" ht="12.75">
      <c r="A53" s="25"/>
      <c r="B53" s="39" t="s">
        <v>34</v>
      </c>
      <c r="C53" s="124"/>
      <c r="D53" s="147"/>
      <c r="E53" s="147"/>
      <c r="F53" s="147"/>
      <c r="G53" s="147"/>
      <c r="H53" s="147"/>
      <c r="I53" s="147"/>
      <c r="J53" s="23">
        <f>SUM(E53:I53)</f>
        <v>0</v>
      </c>
    </row>
    <row r="54" spans="1:10" s="3" customFormat="1" ht="12.75">
      <c r="A54" s="25"/>
      <c r="B54" s="39" t="s">
        <v>35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36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37</v>
      </c>
      <c r="C56" s="121" t="s">
        <v>138</v>
      </c>
      <c r="D56" s="148">
        <f aca="true" t="shared" si="8" ref="D56:J56">SUM(D53:D55)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48">
        <f t="shared" si="8"/>
        <v>0</v>
      </c>
      <c r="J56" s="23">
        <f t="shared" si="8"/>
        <v>0</v>
      </c>
    </row>
    <row r="57" spans="1:10" s="3" customFormat="1" ht="12.75">
      <c r="A57" s="25"/>
      <c r="B57" s="40" t="s">
        <v>38</v>
      </c>
      <c r="C57" s="125" t="s">
        <v>126</v>
      </c>
      <c r="D57" s="147"/>
      <c r="E57" s="147"/>
      <c r="F57" s="147"/>
      <c r="G57" s="147"/>
      <c r="H57" s="147"/>
      <c r="I57" s="147"/>
      <c r="J57" s="23"/>
    </row>
    <row r="58" spans="1:10" s="3" customFormat="1" ht="38.25">
      <c r="A58" s="25"/>
      <c r="B58" s="39" t="s">
        <v>39</v>
      </c>
      <c r="C58" s="124" t="s">
        <v>278</v>
      </c>
      <c r="D58" s="147"/>
      <c r="E58" s="147"/>
      <c r="F58" s="147"/>
      <c r="G58" s="147"/>
      <c r="H58" s="147"/>
      <c r="I58" s="147"/>
      <c r="J58" s="23">
        <f>SUM(G58:I58)</f>
        <v>0</v>
      </c>
    </row>
    <row r="59" spans="1:10" s="3" customFormat="1" ht="25.5">
      <c r="A59" s="25"/>
      <c r="B59" s="39" t="s">
        <v>40</v>
      </c>
      <c r="C59" s="124" t="s">
        <v>279</v>
      </c>
      <c r="D59" s="147"/>
      <c r="E59" s="147"/>
      <c r="F59" s="147">
        <v>5000</v>
      </c>
      <c r="G59" s="147"/>
      <c r="H59" s="147"/>
      <c r="I59" s="147"/>
      <c r="J59" s="23">
        <f>SUM(G59:I59)</f>
        <v>0</v>
      </c>
    </row>
    <row r="60" spans="1:10" s="3" customFormat="1" ht="12.75">
      <c r="A60" s="25"/>
      <c r="B60" s="39" t="s">
        <v>42</v>
      </c>
      <c r="C60" s="121" t="s">
        <v>138</v>
      </c>
      <c r="D60" s="148">
        <f>SUM(D58:D59)</f>
        <v>0</v>
      </c>
      <c r="E60" s="148">
        <f aca="true" t="shared" si="9" ref="E60:J60">SUM(E58:E59)</f>
        <v>0</v>
      </c>
      <c r="F60" s="148">
        <f t="shared" si="9"/>
        <v>5000</v>
      </c>
      <c r="G60" s="148">
        <f t="shared" si="9"/>
        <v>0</v>
      </c>
      <c r="H60" s="148">
        <f t="shared" si="9"/>
        <v>0</v>
      </c>
      <c r="I60" s="148">
        <f t="shared" si="9"/>
        <v>0</v>
      </c>
      <c r="J60" s="148">
        <f t="shared" si="9"/>
        <v>0</v>
      </c>
    </row>
    <row r="61" spans="1:10" s="3" customFormat="1" ht="12.75">
      <c r="A61" s="35"/>
      <c r="B61" s="36">
        <v>2999</v>
      </c>
      <c r="C61" s="126" t="s">
        <v>29</v>
      </c>
      <c r="D61" s="148">
        <f aca="true" t="shared" si="10" ref="D61:J61">+D50+D56+D60</f>
        <v>0</v>
      </c>
      <c r="E61" s="148">
        <f t="shared" si="10"/>
        <v>0</v>
      </c>
      <c r="F61" s="148">
        <f t="shared" si="10"/>
        <v>5000</v>
      </c>
      <c r="G61" s="148">
        <f t="shared" si="10"/>
        <v>0</v>
      </c>
      <c r="H61" s="148">
        <f t="shared" si="10"/>
        <v>0</v>
      </c>
      <c r="I61" s="148">
        <f t="shared" si="10"/>
        <v>0</v>
      </c>
      <c r="J61" s="23">
        <f t="shared" si="10"/>
        <v>0</v>
      </c>
    </row>
    <row r="62" spans="1:10" s="3" customFormat="1" ht="12.75">
      <c r="A62" s="84">
        <v>30</v>
      </c>
      <c r="B62" s="85" t="s">
        <v>43</v>
      </c>
      <c r="C62" s="129"/>
      <c r="D62" s="144"/>
      <c r="E62" s="144"/>
      <c r="F62" s="144"/>
      <c r="G62" s="144"/>
      <c r="H62" s="144"/>
      <c r="I62" s="144"/>
      <c r="J62" s="78"/>
    </row>
    <row r="63" spans="1:10" s="3" customFormat="1" ht="12.75">
      <c r="A63" s="22"/>
      <c r="B63" s="76" t="s">
        <v>44</v>
      </c>
      <c r="C63" s="118" t="s">
        <v>119</v>
      </c>
      <c r="D63" s="144"/>
      <c r="E63" s="144"/>
      <c r="F63" s="144"/>
      <c r="G63" s="144"/>
      <c r="H63" s="144"/>
      <c r="I63" s="144"/>
      <c r="J63" s="78"/>
    </row>
    <row r="64" spans="1:10" s="3" customFormat="1" ht="12.75">
      <c r="A64" s="54"/>
      <c r="B64" s="55"/>
      <c r="C64" s="119" t="s">
        <v>120</v>
      </c>
      <c r="D64" s="145"/>
      <c r="E64" s="145"/>
      <c r="F64" s="145"/>
      <c r="G64" s="145"/>
      <c r="H64" s="145"/>
      <c r="I64" s="145"/>
      <c r="J64" s="57"/>
    </row>
    <row r="65" spans="1:10" s="3" customFormat="1" ht="12.75">
      <c r="A65" s="25"/>
      <c r="B65" s="26" t="s">
        <v>45</v>
      </c>
      <c r="C65" s="130"/>
      <c r="D65" s="147"/>
      <c r="E65" s="147"/>
      <c r="F65" s="147"/>
      <c r="G65" s="147"/>
      <c r="H65" s="147"/>
      <c r="I65" s="147"/>
      <c r="J65" s="23">
        <f>SUM(E65:I65)</f>
        <v>0</v>
      </c>
    </row>
    <row r="66" spans="1:10" s="3" customFormat="1" ht="12.75">
      <c r="A66" s="25"/>
      <c r="B66" s="26" t="s">
        <v>46</v>
      </c>
      <c r="C66" s="130"/>
      <c r="D66" s="147"/>
      <c r="E66" s="147"/>
      <c r="F66" s="147"/>
      <c r="G66" s="147"/>
      <c r="H66" s="147"/>
      <c r="I66" s="147"/>
      <c r="J66" s="23">
        <f>SUM(E66:I66)</f>
        <v>0</v>
      </c>
    </row>
    <row r="67" spans="1:10" s="3" customFormat="1" ht="12.75">
      <c r="A67" s="25"/>
      <c r="B67" s="26" t="s">
        <v>134</v>
      </c>
      <c r="C67" s="130"/>
      <c r="D67" s="147"/>
      <c r="E67" s="147"/>
      <c r="F67" s="147"/>
      <c r="G67" s="147"/>
      <c r="H67" s="147"/>
      <c r="I67" s="147"/>
      <c r="J67" s="23">
        <f>SUM(E67:I67)</f>
        <v>0</v>
      </c>
    </row>
    <row r="68" spans="1:10" s="3" customFormat="1" ht="12.75">
      <c r="A68" s="25"/>
      <c r="B68" s="39" t="s">
        <v>47</v>
      </c>
      <c r="C68" s="121" t="s">
        <v>138</v>
      </c>
      <c r="D68" s="148">
        <f aca="true" t="shared" si="11" ref="D68:J68">SUM(D65:D67)</f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8">
        <f t="shared" si="11"/>
        <v>0</v>
      </c>
      <c r="I68" s="148">
        <f t="shared" si="11"/>
        <v>0</v>
      </c>
      <c r="J68" s="23">
        <f t="shared" si="11"/>
        <v>0</v>
      </c>
    </row>
    <row r="69" spans="1:10" s="3" customFormat="1" ht="12.75">
      <c r="A69" s="59"/>
      <c r="B69" s="66" t="s">
        <v>48</v>
      </c>
      <c r="C69" s="123" t="s">
        <v>105</v>
      </c>
      <c r="D69" s="149"/>
      <c r="E69" s="149"/>
      <c r="F69" s="149"/>
      <c r="G69" s="149"/>
      <c r="H69" s="149"/>
      <c r="I69" s="149"/>
      <c r="J69" s="62"/>
    </row>
    <row r="70" spans="1:10" s="3" customFormat="1" ht="12.75">
      <c r="A70" s="54"/>
      <c r="B70" s="67"/>
      <c r="C70" s="128" t="s">
        <v>106</v>
      </c>
      <c r="D70" s="145"/>
      <c r="E70" s="145"/>
      <c r="F70" s="145"/>
      <c r="G70" s="145"/>
      <c r="H70" s="145"/>
      <c r="I70" s="145"/>
      <c r="J70" s="57"/>
    </row>
    <row r="71" spans="1:10" s="172" customFormat="1" ht="12.75">
      <c r="A71" s="168"/>
      <c r="B71" s="169" t="s">
        <v>49</v>
      </c>
      <c r="C71" s="174" t="s">
        <v>236</v>
      </c>
      <c r="D71" s="175"/>
      <c r="E71" s="175"/>
      <c r="F71" s="175"/>
      <c r="G71" s="175"/>
      <c r="H71" s="175">
        <v>2000</v>
      </c>
      <c r="I71" s="175"/>
      <c r="J71" s="171">
        <f>SUM(E71:I71)</f>
        <v>2000</v>
      </c>
    </row>
    <row r="72" spans="1:10" s="3" customFormat="1" ht="25.5">
      <c r="A72" s="25"/>
      <c r="B72" s="39" t="s">
        <v>92</v>
      </c>
      <c r="C72" s="121" t="s">
        <v>604</v>
      </c>
      <c r="D72" s="150"/>
      <c r="E72" s="150">
        <v>6000</v>
      </c>
      <c r="F72" s="154"/>
      <c r="G72" s="150"/>
      <c r="H72" s="150">
        <v>4000</v>
      </c>
      <c r="I72" s="150"/>
      <c r="J72" s="23">
        <f>SUM(E72:I72)</f>
        <v>10000</v>
      </c>
    </row>
    <row r="73" spans="1:10" s="3" customFormat="1" ht="12.75">
      <c r="A73" s="25"/>
      <c r="B73" s="39" t="s">
        <v>93</v>
      </c>
      <c r="C73" s="121" t="s">
        <v>274</v>
      </c>
      <c r="D73" s="150"/>
      <c r="E73" s="150">
        <v>5000</v>
      </c>
      <c r="F73" s="150"/>
      <c r="G73" s="150"/>
      <c r="H73" s="150">
        <v>2000</v>
      </c>
      <c r="I73" s="150"/>
      <c r="J73" s="23">
        <f>SUM(E73:I73)</f>
        <v>7000</v>
      </c>
    </row>
    <row r="74" spans="1:10" s="3" customFormat="1" ht="12.75">
      <c r="A74" s="25"/>
      <c r="B74" s="39" t="s">
        <v>50</v>
      </c>
      <c r="C74" s="121" t="s">
        <v>138</v>
      </c>
      <c r="D74" s="148">
        <f aca="true" t="shared" si="12" ref="D74:J74">SUM(D71:D73)</f>
        <v>0</v>
      </c>
      <c r="E74" s="148">
        <f t="shared" si="12"/>
        <v>11000</v>
      </c>
      <c r="F74" s="148">
        <f t="shared" si="12"/>
        <v>0</v>
      </c>
      <c r="G74" s="148">
        <f t="shared" si="12"/>
        <v>0</v>
      </c>
      <c r="H74" s="148">
        <f t="shared" si="12"/>
        <v>8000</v>
      </c>
      <c r="I74" s="148">
        <f t="shared" si="12"/>
        <v>0</v>
      </c>
      <c r="J74" s="23">
        <f t="shared" si="12"/>
        <v>19000</v>
      </c>
    </row>
    <row r="75" spans="1:10" s="3" customFormat="1" ht="12.75">
      <c r="A75" s="25"/>
      <c r="B75" s="40" t="s">
        <v>51</v>
      </c>
      <c r="C75" s="125" t="s">
        <v>94</v>
      </c>
      <c r="D75" s="150"/>
      <c r="E75" s="150"/>
      <c r="F75" s="150"/>
      <c r="G75" s="150"/>
      <c r="H75" s="150"/>
      <c r="I75" s="150"/>
      <c r="J75" s="34"/>
    </row>
    <row r="76" spans="1:10" s="172" customFormat="1" ht="12.75">
      <c r="A76" s="168"/>
      <c r="B76" s="169" t="s">
        <v>52</v>
      </c>
      <c r="C76" s="174" t="s">
        <v>263</v>
      </c>
      <c r="D76" s="176"/>
      <c r="E76" s="176"/>
      <c r="F76" s="176"/>
      <c r="G76" s="176">
        <v>10000</v>
      </c>
      <c r="H76" s="176">
        <v>6000</v>
      </c>
      <c r="I76" s="176"/>
      <c r="J76" s="171">
        <f>SUM(E76:I76)</f>
        <v>16000</v>
      </c>
    </row>
    <row r="77" spans="1:10" s="3" customFormat="1" ht="12.75">
      <c r="A77" s="25"/>
      <c r="B77" s="39" t="s">
        <v>53</v>
      </c>
      <c r="C77" s="121" t="s">
        <v>605</v>
      </c>
      <c r="D77" s="147"/>
      <c r="E77" s="147">
        <v>5000</v>
      </c>
      <c r="F77" s="147"/>
      <c r="G77" s="147"/>
      <c r="H77" s="147">
        <v>4000</v>
      </c>
      <c r="I77" s="147"/>
      <c r="J77" s="23">
        <f>SUM(E77:I77)</f>
        <v>9000</v>
      </c>
    </row>
    <row r="78" spans="1:10" s="3" customFormat="1" ht="12.75">
      <c r="A78" s="25"/>
      <c r="B78" s="39" t="s">
        <v>55</v>
      </c>
      <c r="C78" s="121" t="s">
        <v>138</v>
      </c>
      <c r="D78" s="148">
        <f aca="true" t="shared" si="13" ref="D78:J78">SUM(D76:D77)</f>
        <v>0</v>
      </c>
      <c r="E78" s="148">
        <f t="shared" si="13"/>
        <v>5000</v>
      </c>
      <c r="F78" s="148">
        <f t="shared" si="13"/>
        <v>0</v>
      </c>
      <c r="G78" s="148">
        <f t="shared" si="13"/>
        <v>10000</v>
      </c>
      <c r="H78" s="148">
        <f t="shared" si="13"/>
        <v>10000</v>
      </c>
      <c r="I78" s="148">
        <f t="shared" si="13"/>
        <v>0</v>
      </c>
      <c r="J78" s="23">
        <f t="shared" si="13"/>
        <v>25000</v>
      </c>
    </row>
    <row r="79" spans="1:10" s="3" customFormat="1" ht="12.75">
      <c r="A79" s="35"/>
      <c r="B79" s="36">
        <v>3999</v>
      </c>
      <c r="C79" s="126" t="s">
        <v>29</v>
      </c>
      <c r="D79" s="148">
        <f aca="true" t="shared" si="14" ref="D79:J79">+D68+D74+D78</f>
        <v>0</v>
      </c>
      <c r="E79" s="148">
        <f t="shared" si="14"/>
        <v>16000</v>
      </c>
      <c r="F79" s="148">
        <f t="shared" si="14"/>
        <v>0</v>
      </c>
      <c r="G79" s="148">
        <f t="shared" si="14"/>
        <v>10000</v>
      </c>
      <c r="H79" s="148">
        <f t="shared" si="14"/>
        <v>18000</v>
      </c>
      <c r="I79" s="148">
        <f t="shared" si="14"/>
        <v>0</v>
      </c>
      <c r="J79" s="23">
        <f t="shared" si="14"/>
        <v>44000</v>
      </c>
    </row>
    <row r="80" spans="1:10" s="3" customFormat="1" ht="12.75">
      <c r="A80" s="80">
        <v>40</v>
      </c>
      <c r="B80" s="86" t="s">
        <v>127</v>
      </c>
      <c r="C80" s="127"/>
      <c r="D80" s="149"/>
      <c r="E80" s="149"/>
      <c r="F80" s="149"/>
      <c r="G80" s="149"/>
      <c r="H80" s="149"/>
      <c r="I80" s="149"/>
      <c r="J80" s="62"/>
    </row>
    <row r="81" spans="1:10" s="3" customFormat="1" ht="12.75">
      <c r="A81" s="22"/>
      <c r="B81" s="76" t="s">
        <v>56</v>
      </c>
      <c r="C81" s="118" t="s">
        <v>103</v>
      </c>
      <c r="D81" s="151"/>
      <c r="E81" s="151"/>
      <c r="F81" s="151"/>
      <c r="G81" s="151"/>
      <c r="H81" s="151"/>
      <c r="I81" s="151"/>
      <c r="J81" s="82"/>
    </row>
    <row r="82" spans="1:10" s="3" customFormat="1" ht="12.75">
      <c r="A82" s="54"/>
      <c r="B82" s="55"/>
      <c r="C82" s="119" t="s">
        <v>121</v>
      </c>
      <c r="D82" s="152"/>
      <c r="E82" s="152"/>
      <c r="F82" s="152"/>
      <c r="G82" s="152"/>
      <c r="H82" s="152"/>
      <c r="I82" s="152"/>
      <c r="J82" s="65"/>
    </row>
    <row r="83" spans="1:10" s="3" customFormat="1" ht="12.75">
      <c r="A83" s="25"/>
      <c r="B83" s="26" t="s">
        <v>57</v>
      </c>
      <c r="C83" s="130" t="s">
        <v>265</v>
      </c>
      <c r="D83" s="150"/>
      <c r="E83" s="150">
        <v>5000</v>
      </c>
      <c r="F83" s="150"/>
      <c r="G83" s="150"/>
      <c r="H83" s="147">
        <v>6000</v>
      </c>
      <c r="I83" s="150"/>
      <c r="J83" s="23">
        <f>SUM(E83:I83)</f>
        <v>11000</v>
      </c>
    </row>
    <row r="84" spans="1:10" s="3" customFormat="1" ht="12.75">
      <c r="A84" s="25"/>
      <c r="B84" s="26" t="s">
        <v>59</v>
      </c>
      <c r="C84" s="130"/>
      <c r="D84" s="150"/>
      <c r="E84" s="147"/>
      <c r="F84" s="150"/>
      <c r="G84" s="150"/>
      <c r="H84" s="147">
        <v>6000</v>
      </c>
      <c r="I84" s="150"/>
      <c r="J84" s="23">
        <f>SUM(E84:I84)</f>
        <v>6000</v>
      </c>
    </row>
    <row r="85" spans="1:10" s="3" customFormat="1" ht="12.75">
      <c r="A85" s="25"/>
      <c r="B85" s="26" t="s">
        <v>61</v>
      </c>
      <c r="C85" s="121"/>
      <c r="D85" s="150"/>
      <c r="E85" s="150"/>
      <c r="F85" s="150"/>
      <c r="G85" s="150"/>
      <c r="H85" s="150"/>
      <c r="I85" s="150"/>
      <c r="J85" s="23">
        <f>SUM(E85:I85)</f>
        <v>0</v>
      </c>
    </row>
    <row r="86" spans="1:10" s="3" customFormat="1" ht="12.75">
      <c r="A86" s="25"/>
      <c r="B86" s="39" t="s">
        <v>63</v>
      </c>
      <c r="C86" s="121" t="s">
        <v>138</v>
      </c>
      <c r="D86" s="148">
        <f aca="true" t="shared" si="15" ref="D86:J86">SUM(D83:D85)</f>
        <v>0</v>
      </c>
      <c r="E86" s="148">
        <f t="shared" si="15"/>
        <v>5000</v>
      </c>
      <c r="F86" s="148">
        <f t="shared" si="15"/>
        <v>0</v>
      </c>
      <c r="G86" s="148">
        <f t="shared" si="15"/>
        <v>0</v>
      </c>
      <c r="H86" s="148">
        <f t="shared" si="15"/>
        <v>12000</v>
      </c>
      <c r="I86" s="148">
        <f t="shared" si="15"/>
        <v>0</v>
      </c>
      <c r="J86" s="23">
        <f t="shared" si="15"/>
        <v>17000</v>
      </c>
    </row>
    <row r="87" spans="1:10" s="3" customFormat="1" ht="25.5">
      <c r="A87" s="59"/>
      <c r="B87" s="72">
        <v>4200</v>
      </c>
      <c r="C87" s="128" t="s">
        <v>589</v>
      </c>
      <c r="D87" s="153"/>
      <c r="E87" s="153"/>
      <c r="F87" s="153"/>
      <c r="G87" s="153"/>
      <c r="H87" s="153"/>
      <c r="I87" s="153"/>
      <c r="J87" s="64"/>
    </row>
    <row r="88" spans="1:10" s="3" customFormat="1" ht="25.5">
      <c r="A88" s="25"/>
      <c r="B88" s="39">
        <v>4201</v>
      </c>
      <c r="C88" s="121" t="s">
        <v>275</v>
      </c>
      <c r="D88" s="150"/>
      <c r="E88" s="150"/>
      <c r="F88" s="150"/>
      <c r="G88" s="147">
        <v>4000</v>
      </c>
      <c r="H88" s="150">
        <v>3000</v>
      </c>
      <c r="I88" s="150">
        <f>5000*7</f>
        <v>35000</v>
      </c>
      <c r="J88" s="23">
        <f>SUM(E88:I88)</f>
        <v>42000</v>
      </c>
    </row>
    <row r="89" spans="1:10" s="3" customFormat="1" ht="25.5">
      <c r="A89" s="25"/>
      <c r="B89" s="39">
        <v>4202</v>
      </c>
      <c r="C89" s="121" t="s">
        <v>276</v>
      </c>
      <c r="D89" s="150"/>
      <c r="E89" s="150">
        <v>10000</v>
      </c>
      <c r="F89" s="150"/>
      <c r="G89" s="147">
        <v>4000</v>
      </c>
      <c r="H89" s="150">
        <v>3000</v>
      </c>
      <c r="J89" s="23">
        <f>SUM(E89:I89)</f>
        <v>17000</v>
      </c>
    </row>
    <row r="90" spans="1:10" s="3" customFormat="1" ht="12.75">
      <c r="A90" s="25"/>
      <c r="B90" s="39" t="s">
        <v>66</v>
      </c>
      <c r="C90" s="121" t="s">
        <v>138</v>
      </c>
      <c r="D90" s="148">
        <f aca="true" t="shared" si="16" ref="D90:J90">SUM(D88:D89)</f>
        <v>0</v>
      </c>
      <c r="E90" s="148">
        <f t="shared" si="16"/>
        <v>10000</v>
      </c>
      <c r="F90" s="148">
        <f t="shared" si="16"/>
        <v>0</v>
      </c>
      <c r="G90" s="148">
        <f t="shared" si="16"/>
        <v>8000</v>
      </c>
      <c r="H90" s="148">
        <f t="shared" si="16"/>
        <v>6000</v>
      </c>
      <c r="I90" s="148">
        <f t="shared" si="16"/>
        <v>35000</v>
      </c>
      <c r="J90" s="148">
        <f t="shared" si="16"/>
        <v>59000</v>
      </c>
    </row>
    <row r="91" spans="1:10" s="3" customFormat="1" ht="12.75">
      <c r="A91" s="59"/>
      <c r="B91" s="72">
        <v>4300</v>
      </c>
      <c r="C91" s="123" t="s">
        <v>122</v>
      </c>
      <c r="D91" s="153"/>
      <c r="E91" s="153"/>
      <c r="F91" s="153"/>
      <c r="G91" s="153"/>
      <c r="H91" s="153"/>
      <c r="I91" s="153"/>
      <c r="J91" s="64"/>
    </row>
    <row r="92" spans="1:10" s="3" customFormat="1" ht="12.75">
      <c r="A92" s="54"/>
      <c r="B92" s="73"/>
      <c r="C92" s="128" t="s">
        <v>123</v>
      </c>
      <c r="D92" s="152"/>
      <c r="E92" s="152"/>
      <c r="F92" s="152"/>
      <c r="G92" s="152"/>
      <c r="H92" s="152"/>
      <c r="I92" s="152"/>
      <c r="J92" s="65"/>
    </row>
    <row r="93" spans="1:10" s="3" customFormat="1" ht="12.75">
      <c r="A93" s="25"/>
      <c r="B93" s="39" t="s">
        <v>67</v>
      </c>
      <c r="C93" s="121" t="str">
        <f>'detailed GEF budget BIS'!C92</f>
        <v>Office Maintenance+Electricity</v>
      </c>
      <c r="D93" s="150"/>
      <c r="E93" s="150"/>
      <c r="F93" s="150"/>
      <c r="G93" s="150"/>
      <c r="H93" s="150"/>
      <c r="I93" s="150"/>
      <c r="J93" s="23">
        <f>SUM(E93:I93)</f>
        <v>0</v>
      </c>
    </row>
    <row r="94" spans="1:10" s="3" customFormat="1" ht="12.75">
      <c r="A94" s="25"/>
      <c r="B94" s="39" t="s">
        <v>68</v>
      </c>
      <c r="C94" s="121" t="s">
        <v>138</v>
      </c>
      <c r="D94" s="148">
        <f aca="true" t="shared" si="17" ref="D94:J94">SUM(D93:D93)</f>
        <v>0</v>
      </c>
      <c r="E94" s="148">
        <f t="shared" si="17"/>
        <v>0</v>
      </c>
      <c r="F94" s="148">
        <f t="shared" si="17"/>
        <v>0</v>
      </c>
      <c r="G94" s="148">
        <f t="shared" si="17"/>
        <v>0</v>
      </c>
      <c r="H94" s="148">
        <f t="shared" si="17"/>
        <v>0</v>
      </c>
      <c r="I94" s="148">
        <f t="shared" si="17"/>
        <v>0</v>
      </c>
      <c r="J94" s="23">
        <f t="shared" si="17"/>
        <v>0</v>
      </c>
    </row>
    <row r="95" spans="1:10" s="3" customFormat="1" ht="12.75">
      <c r="A95" s="35"/>
      <c r="B95" s="36">
        <v>4999</v>
      </c>
      <c r="C95" s="126" t="s">
        <v>29</v>
      </c>
      <c r="D95" s="148">
        <f aca="true" t="shared" si="18" ref="D95:J95">+D86+D90+D94</f>
        <v>0</v>
      </c>
      <c r="E95" s="148">
        <f t="shared" si="18"/>
        <v>15000</v>
      </c>
      <c r="F95" s="148">
        <f t="shared" si="18"/>
        <v>0</v>
      </c>
      <c r="G95" s="148">
        <f t="shared" si="18"/>
        <v>8000</v>
      </c>
      <c r="H95" s="148">
        <f t="shared" si="18"/>
        <v>18000</v>
      </c>
      <c r="I95" s="148">
        <f t="shared" si="18"/>
        <v>35000</v>
      </c>
      <c r="J95" s="23">
        <f t="shared" si="18"/>
        <v>76000</v>
      </c>
    </row>
    <row r="96" spans="1:10" s="3" customFormat="1" ht="12.75">
      <c r="A96" s="80">
        <v>50</v>
      </c>
      <c r="B96" s="74" t="s">
        <v>69</v>
      </c>
      <c r="C96" s="127"/>
      <c r="D96" s="149"/>
      <c r="E96" s="149"/>
      <c r="F96" s="149"/>
      <c r="G96" s="149"/>
      <c r="H96" s="149"/>
      <c r="I96" s="149"/>
      <c r="J96" s="62"/>
    </row>
    <row r="97" spans="1:10" s="3" customFormat="1" ht="12.75">
      <c r="A97" s="22"/>
      <c r="B97" s="85" t="s">
        <v>70</v>
      </c>
      <c r="C97" s="118" t="s">
        <v>107</v>
      </c>
      <c r="D97" s="144"/>
      <c r="E97" s="144"/>
      <c r="F97" s="144"/>
      <c r="G97" s="144"/>
      <c r="H97" s="144"/>
      <c r="I97" s="144"/>
      <c r="J97" s="78"/>
    </row>
    <row r="98" spans="1:10" s="3" customFormat="1" ht="12.75">
      <c r="A98" s="54"/>
      <c r="B98" s="75"/>
      <c r="C98" s="119" t="s">
        <v>97</v>
      </c>
      <c r="D98" s="145"/>
      <c r="E98" s="145"/>
      <c r="F98" s="145"/>
      <c r="G98" s="145"/>
      <c r="H98" s="145"/>
      <c r="I98" s="145"/>
      <c r="J98" s="57"/>
    </row>
    <row r="99" spans="1:10" s="3" customFormat="1" ht="12.75">
      <c r="A99" s="25"/>
      <c r="B99" s="26" t="s">
        <v>71</v>
      </c>
      <c r="C99" s="121" t="s">
        <v>99</v>
      </c>
      <c r="D99" s="147"/>
      <c r="E99" s="147"/>
      <c r="F99" s="147"/>
      <c r="G99" s="147"/>
      <c r="H99" s="147"/>
      <c r="I99" s="147"/>
      <c r="J99" s="23">
        <f>SUM(E99:I99)</f>
        <v>0</v>
      </c>
    </row>
    <row r="100" spans="1:10" s="3" customFormat="1" ht="12.75">
      <c r="A100" s="25"/>
      <c r="B100" s="26" t="s">
        <v>72</v>
      </c>
      <c r="C100" s="121" t="s">
        <v>128</v>
      </c>
      <c r="D100" s="147"/>
      <c r="E100" s="150"/>
      <c r="F100" s="150"/>
      <c r="G100" s="150"/>
      <c r="H100" s="150"/>
      <c r="I100" s="150"/>
      <c r="J100" s="23">
        <f>SUM(E100:I100)</f>
        <v>0</v>
      </c>
    </row>
    <row r="101" spans="1:10" s="3" customFormat="1" ht="12.75">
      <c r="A101" s="25"/>
      <c r="B101" s="26" t="s">
        <v>73</v>
      </c>
      <c r="C101" s="121" t="s">
        <v>100</v>
      </c>
      <c r="D101" s="147"/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26" t="s">
        <v>74</v>
      </c>
      <c r="C102" s="121" t="s">
        <v>101</v>
      </c>
      <c r="D102" s="147"/>
      <c r="E102" s="150"/>
      <c r="F102" s="150"/>
      <c r="G102" s="150"/>
      <c r="H102" s="150"/>
      <c r="I102" s="150"/>
      <c r="J102" s="23">
        <f>SUM(E102:I102)</f>
        <v>0</v>
      </c>
    </row>
    <row r="103" spans="1:10" s="3" customFormat="1" ht="12.75">
      <c r="A103" s="25"/>
      <c r="B103" s="26" t="s">
        <v>75</v>
      </c>
      <c r="C103" s="121" t="s">
        <v>102</v>
      </c>
      <c r="D103" s="147">
        <f>'detailed GEF budget BIS'!G102</f>
        <v>0</v>
      </c>
      <c r="E103" s="150"/>
      <c r="F103" s="150"/>
      <c r="G103" s="150"/>
      <c r="H103" s="150"/>
      <c r="I103" s="150"/>
      <c r="J103" s="23">
        <f>SUM(E103:I103)</f>
        <v>0</v>
      </c>
    </row>
    <row r="104" spans="1:10" s="3" customFormat="1" ht="12.75">
      <c r="A104" s="25"/>
      <c r="B104" s="39" t="s">
        <v>76</v>
      </c>
      <c r="C104" s="121" t="s">
        <v>138</v>
      </c>
      <c r="D104" s="148">
        <f aca="true" t="shared" si="19" ref="D104:J104">SUM(D99:D103)</f>
        <v>0</v>
      </c>
      <c r="E104" s="148">
        <f t="shared" si="19"/>
        <v>0</v>
      </c>
      <c r="F104" s="148">
        <f t="shared" si="19"/>
        <v>0</v>
      </c>
      <c r="G104" s="148">
        <f t="shared" si="19"/>
        <v>0</v>
      </c>
      <c r="H104" s="148">
        <f t="shared" si="19"/>
        <v>0</v>
      </c>
      <c r="I104" s="148">
        <f t="shared" si="19"/>
        <v>0</v>
      </c>
      <c r="J104" s="23">
        <f t="shared" si="19"/>
        <v>0</v>
      </c>
    </row>
    <row r="105" spans="1:10" s="3" customFormat="1" ht="12.75">
      <c r="A105" s="59"/>
      <c r="B105" s="72">
        <v>5200</v>
      </c>
      <c r="C105" s="123" t="s">
        <v>129</v>
      </c>
      <c r="D105" s="153"/>
      <c r="E105" s="153"/>
      <c r="F105" s="153"/>
      <c r="G105" s="153"/>
      <c r="H105" s="153"/>
      <c r="I105" s="153"/>
      <c r="J105" s="64"/>
    </row>
    <row r="106" spans="1:10" s="3" customFormat="1" ht="12.75">
      <c r="A106" s="54"/>
      <c r="B106" s="73"/>
      <c r="C106" s="128" t="s">
        <v>98</v>
      </c>
      <c r="D106" s="152"/>
      <c r="E106" s="152"/>
      <c r="F106" s="152"/>
      <c r="G106" s="152"/>
      <c r="H106" s="152"/>
      <c r="I106" s="152"/>
      <c r="J106" s="65"/>
    </row>
    <row r="107" spans="1:10" s="3" customFormat="1" ht="12.75">
      <c r="A107" s="25"/>
      <c r="B107" s="39" t="s">
        <v>77</v>
      </c>
      <c r="C107" s="121"/>
      <c r="D107" s="150"/>
      <c r="E107" s="150"/>
      <c r="F107" s="150"/>
      <c r="G107" s="150"/>
      <c r="H107" s="150"/>
      <c r="I107" s="150"/>
      <c r="J107" s="23">
        <f>SUM(E107:I107)</f>
        <v>0</v>
      </c>
    </row>
    <row r="108" spans="1:10" s="3" customFormat="1" ht="12.75">
      <c r="A108" s="25"/>
      <c r="B108" s="39" t="s">
        <v>78</v>
      </c>
      <c r="C108" s="121"/>
      <c r="D108" s="150"/>
      <c r="E108" s="150"/>
      <c r="F108" s="150"/>
      <c r="G108" s="150"/>
      <c r="H108" s="150"/>
      <c r="I108" s="150"/>
      <c r="J108" s="23">
        <f>SUM(E108:I108)</f>
        <v>0</v>
      </c>
    </row>
    <row r="109" spans="1:10" s="3" customFormat="1" ht="12.75">
      <c r="A109" s="25"/>
      <c r="B109" s="39" t="s">
        <v>79</v>
      </c>
      <c r="C109" s="121" t="s">
        <v>138</v>
      </c>
      <c r="D109" s="148">
        <f aca="true" t="shared" si="20" ref="D109:J109">SUM(D107:D108)</f>
        <v>0</v>
      </c>
      <c r="E109" s="148">
        <f t="shared" si="20"/>
        <v>0</v>
      </c>
      <c r="F109" s="148">
        <f t="shared" si="20"/>
        <v>0</v>
      </c>
      <c r="G109" s="148">
        <f t="shared" si="20"/>
        <v>0</v>
      </c>
      <c r="H109" s="148">
        <f t="shared" si="20"/>
        <v>0</v>
      </c>
      <c r="I109" s="148">
        <f t="shared" si="20"/>
        <v>0</v>
      </c>
      <c r="J109" s="23">
        <f t="shared" si="20"/>
        <v>0</v>
      </c>
    </row>
    <row r="110" spans="1:10" s="3" customFormat="1" ht="12.75">
      <c r="A110" s="59"/>
      <c r="B110" s="72">
        <v>5300</v>
      </c>
      <c r="C110" s="123" t="s">
        <v>124</v>
      </c>
      <c r="D110" s="153"/>
      <c r="E110" s="153"/>
      <c r="F110" s="153"/>
      <c r="G110" s="153"/>
      <c r="H110" s="153"/>
      <c r="I110" s="153"/>
      <c r="J110" s="64"/>
    </row>
    <row r="111" spans="1:10" s="3" customFormat="1" ht="12.75">
      <c r="A111" s="54"/>
      <c r="B111" s="73"/>
      <c r="C111" s="128" t="s">
        <v>130</v>
      </c>
      <c r="D111" s="152"/>
      <c r="E111" s="152"/>
      <c r="F111" s="152"/>
      <c r="G111" s="152"/>
      <c r="H111" s="152"/>
      <c r="I111" s="152"/>
      <c r="J111" s="65"/>
    </row>
    <row r="112" spans="1:10" s="3" customFormat="1" ht="12.75">
      <c r="A112" s="25"/>
      <c r="B112" s="39" t="s">
        <v>80</v>
      </c>
      <c r="C112" s="121" t="str">
        <f>'detailed GEF budget BIS'!C111</f>
        <v>Communication</v>
      </c>
      <c r="D112" s="150"/>
      <c r="E112" s="150">
        <v>4000</v>
      </c>
      <c r="F112" s="150"/>
      <c r="G112" s="150"/>
      <c r="H112" s="150"/>
      <c r="I112" s="150"/>
      <c r="J112" s="23">
        <f>SUM(E112:I112)</f>
        <v>4000</v>
      </c>
    </row>
    <row r="113" spans="1:10" s="3" customFormat="1" ht="12.75">
      <c r="A113" s="25"/>
      <c r="B113" s="39" t="s">
        <v>81</v>
      </c>
      <c r="C113" s="121" t="str">
        <f>'detailed GEF budget BIS'!C112</f>
        <v>Auditing</v>
      </c>
      <c r="D113" s="150"/>
      <c r="E113" s="150"/>
      <c r="F113" s="150"/>
      <c r="G113" s="150"/>
      <c r="H113" s="150"/>
      <c r="I113" s="150"/>
      <c r="J113" s="23">
        <f>SUM(E113:I113)</f>
        <v>0</v>
      </c>
    </row>
    <row r="114" spans="1:10" s="3" customFormat="1" ht="12.75">
      <c r="A114" s="25"/>
      <c r="B114" s="39" t="s">
        <v>82</v>
      </c>
      <c r="C114" s="121" t="str">
        <f>'detailed GEF budget BIS'!C113</f>
        <v> Unspecified</v>
      </c>
      <c r="D114" s="150"/>
      <c r="E114" s="150"/>
      <c r="F114" s="150"/>
      <c r="G114" s="150"/>
      <c r="H114" s="150"/>
      <c r="I114" s="150"/>
      <c r="J114" s="23">
        <f>SUM(E114:I114)</f>
        <v>0</v>
      </c>
    </row>
    <row r="115" spans="1:10" s="3" customFormat="1" ht="12.75">
      <c r="A115" s="25"/>
      <c r="B115" s="39" t="s">
        <v>83</v>
      </c>
      <c r="C115" s="121" t="s">
        <v>138</v>
      </c>
      <c r="D115" s="148">
        <f aca="true" t="shared" si="21" ref="D115:J115">SUM(D112:D114)</f>
        <v>0</v>
      </c>
      <c r="E115" s="148">
        <f t="shared" si="21"/>
        <v>4000</v>
      </c>
      <c r="F115" s="148">
        <f t="shared" si="21"/>
        <v>0</v>
      </c>
      <c r="G115" s="148">
        <f t="shared" si="21"/>
        <v>0</v>
      </c>
      <c r="H115" s="148">
        <f t="shared" si="21"/>
        <v>0</v>
      </c>
      <c r="I115" s="148">
        <f t="shared" si="21"/>
        <v>0</v>
      </c>
      <c r="J115" s="23">
        <f t="shared" si="21"/>
        <v>4000</v>
      </c>
    </row>
    <row r="116" spans="1:10" s="3" customFormat="1" ht="12.75">
      <c r="A116" s="25"/>
      <c r="B116" s="41">
        <v>5400</v>
      </c>
      <c r="C116" s="125" t="s">
        <v>84</v>
      </c>
      <c r="D116" s="147"/>
      <c r="E116" s="147"/>
      <c r="F116" s="147"/>
      <c r="G116" s="147"/>
      <c r="H116" s="147"/>
      <c r="I116" s="147"/>
      <c r="J116" s="23"/>
    </row>
    <row r="117" spans="1:10" s="3" customFormat="1" ht="12.75">
      <c r="A117" s="25"/>
      <c r="B117" s="39" t="s">
        <v>85</v>
      </c>
      <c r="C117" s="121"/>
      <c r="D117" s="150"/>
      <c r="E117" s="150"/>
      <c r="F117" s="150"/>
      <c r="G117" s="150"/>
      <c r="H117" s="150"/>
      <c r="I117" s="150"/>
      <c r="J117" s="23">
        <f>SUM(E117:I117)</f>
        <v>0</v>
      </c>
    </row>
    <row r="118" spans="1:10" s="3" customFormat="1" ht="12.75">
      <c r="A118" s="25"/>
      <c r="B118" s="42">
        <v>5402</v>
      </c>
      <c r="C118" s="121"/>
      <c r="D118" s="147"/>
      <c r="E118" s="147"/>
      <c r="F118" s="147"/>
      <c r="G118" s="147"/>
      <c r="H118" s="147"/>
      <c r="I118" s="147"/>
      <c r="J118" s="23">
        <f>SUM(E118:I118)</f>
        <v>0</v>
      </c>
    </row>
    <row r="119" spans="1:10" s="3" customFormat="1" ht="12.75">
      <c r="A119" s="25"/>
      <c r="B119" s="39" t="s">
        <v>86</v>
      </c>
      <c r="C119" s="121" t="s">
        <v>138</v>
      </c>
      <c r="D119" s="148">
        <f aca="true" t="shared" si="22" ref="D119:J119">SUM(D117:D118)</f>
        <v>0</v>
      </c>
      <c r="E119" s="148">
        <f t="shared" si="22"/>
        <v>0</v>
      </c>
      <c r="F119" s="148">
        <f t="shared" si="22"/>
        <v>0</v>
      </c>
      <c r="G119" s="148">
        <f t="shared" si="22"/>
        <v>0</v>
      </c>
      <c r="H119" s="148">
        <f t="shared" si="22"/>
        <v>0</v>
      </c>
      <c r="I119" s="148">
        <f t="shared" si="22"/>
        <v>0</v>
      </c>
      <c r="J119" s="23">
        <f t="shared" si="22"/>
        <v>0</v>
      </c>
    </row>
    <row r="120" spans="1:10" s="3" customFormat="1" ht="12.75">
      <c r="A120" s="59"/>
      <c r="B120" s="72">
        <v>5500</v>
      </c>
      <c r="C120" s="123" t="s">
        <v>125</v>
      </c>
      <c r="D120" s="149"/>
      <c r="E120" s="149"/>
      <c r="F120" s="149"/>
      <c r="G120" s="149"/>
      <c r="H120" s="149"/>
      <c r="I120" s="149"/>
      <c r="J120" s="62"/>
    </row>
    <row r="121" spans="1:10" s="3" customFormat="1" ht="12.75">
      <c r="A121" s="54"/>
      <c r="B121" s="73"/>
      <c r="C121" s="128" t="s">
        <v>132</v>
      </c>
      <c r="D121" s="145"/>
      <c r="E121" s="145"/>
      <c r="F121" s="145"/>
      <c r="G121" s="145"/>
      <c r="H121" s="145"/>
      <c r="I121" s="145"/>
      <c r="J121" s="57"/>
    </row>
    <row r="122" spans="1:10" s="3" customFormat="1" ht="12.75">
      <c r="A122" s="25"/>
      <c r="B122" s="39" t="s">
        <v>87</v>
      </c>
      <c r="C122" s="121" t="s">
        <v>270</v>
      </c>
      <c r="D122" s="150"/>
      <c r="E122" s="150"/>
      <c r="F122" s="150">
        <v>15000</v>
      </c>
      <c r="G122" s="150"/>
      <c r="H122" s="150"/>
      <c r="I122" s="150"/>
      <c r="J122" s="23">
        <f>SUM(E122:I122)</f>
        <v>15000</v>
      </c>
    </row>
    <row r="123" spans="1:10" s="3" customFormat="1" ht="12.75">
      <c r="A123" s="25"/>
      <c r="B123" s="39" t="s">
        <v>89</v>
      </c>
      <c r="C123" s="121" t="s">
        <v>138</v>
      </c>
      <c r="D123" s="148">
        <f aca="true" t="shared" si="23" ref="D123:J123">SUM(D122:D122)</f>
        <v>0</v>
      </c>
      <c r="E123" s="148">
        <f t="shared" si="23"/>
        <v>0</v>
      </c>
      <c r="F123" s="148">
        <f t="shared" si="23"/>
        <v>15000</v>
      </c>
      <c r="G123" s="148">
        <f t="shared" si="23"/>
        <v>0</v>
      </c>
      <c r="H123" s="148">
        <f t="shared" si="23"/>
        <v>0</v>
      </c>
      <c r="I123" s="148">
        <f t="shared" si="23"/>
        <v>0</v>
      </c>
      <c r="J123" s="23">
        <f t="shared" si="23"/>
        <v>15000</v>
      </c>
    </row>
    <row r="124" spans="1:10" s="3" customFormat="1" ht="12.75">
      <c r="A124" s="35"/>
      <c r="B124" s="36">
        <v>5999</v>
      </c>
      <c r="C124" s="126" t="s">
        <v>29</v>
      </c>
      <c r="D124" s="148">
        <f aca="true" t="shared" si="24" ref="D124:J124">+D104+D109+D115+D119+D123</f>
        <v>0</v>
      </c>
      <c r="E124" s="148">
        <f t="shared" si="24"/>
        <v>4000</v>
      </c>
      <c r="F124" s="148">
        <f t="shared" si="24"/>
        <v>15000</v>
      </c>
      <c r="G124" s="148">
        <f t="shared" si="24"/>
        <v>0</v>
      </c>
      <c r="H124" s="148">
        <f t="shared" si="24"/>
        <v>0</v>
      </c>
      <c r="I124" s="148">
        <f t="shared" si="24"/>
        <v>0</v>
      </c>
      <c r="J124" s="23">
        <f t="shared" si="24"/>
        <v>19000</v>
      </c>
    </row>
    <row r="125" spans="1:10" s="3" customFormat="1" ht="12.75">
      <c r="A125" s="22"/>
      <c r="B125" s="19"/>
      <c r="C125" s="131"/>
      <c r="D125" s="150"/>
      <c r="E125" s="150"/>
      <c r="F125" s="150"/>
      <c r="G125" s="150"/>
      <c r="H125" s="150"/>
      <c r="I125" s="150"/>
      <c r="J125" s="48"/>
    </row>
    <row r="126" spans="1:10" s="3" customFormat="1" ht="13.5" thickBot="1">
      <c r="A126" s="49"/>
      <c r="B126" s="50" t="s">
        <v>136</v>
      </c>
      <c r="C126" s="132"/>
      <c r="D126" s="155">
        <f aca="true" t="shared" si="25" ref="D126:J126">+D45+D61+D79+D95+D124</f>
        <v>0</v>
      </c>
      <c r="E126" s="155">
        <f t="shared" si="25"/>
        <v>102100</v>
      </c>
      <c r="F126" s="155">
        <f t="shared" si="25"/>
        <v>35763.74</v>
      </c>
      <c r="G126" s="155">
        <f t="shared" si="25"/>
        <v>33000</v>
      </c>
      <c r="H126" s="155">
        <f t="shared" si="25"/>
        <v>65000</v>
      </c>
      <c r="I126" s="155">
        <f t="shared" si="25"/>
        <v>35000</v>
      </c>
      <c r="J126" s="38">
        <f t="shared" si="25"/>
        <v>240763.74</v>
      </c>
    </row>
    <row r="127" spans="1:10" s="3" customFormat="1" ht="12.75">
      <c r="A127" s="18"/>
      <c r="B127" s="19"/>
      <c r="C127" s="131" t="s">
        <v>325</v>
      </c>
      <c r="D127" s="156"/>
      <c r="E127" s="156"/>
      <c r="F127" s="156"/>
      <c r="G127" s="156"/>
      <c r="H127" s="156"/>
      <c r="I127" s="156"/>
      <c r="J127" s="4"/>
    </row>
    <row r="128" spans="1:10" s="3" customFormat="1" ht="12.75">
      <c r="A128" s="5"/>
      <c r="B128" s="9"/>
      <c r="C128" s="116" t="s">
        <v>326</v>
      </c>
      <c r="D128" s="135"/>
      <c r="E128" s="135"/>
      <c r="F128" s="135"/>
      <c r="G128" s="135"/>
      <c r="H128" s="135"/>
      <c r="I128" s="135"/>
      <c r="J128" s="2"/>
    </row>
    <row r="129" spans="1:10" s="3" customFormat="1" ht="13.5" thickBot="1">
      <c r="A129" s="5"/>
      <c r="B129" s="9"/>
      <c r="C129" s="116"/>
      <c r="D129" s="135"/>
      <c r="E129" s="135"/>
      <c r="F129" s="135"/>
      <c r="G129" s="135"/>
      <c r="H129" s="135"/>
      <c r="I129" s="135"/>
      <c r="J129" s="2"/>
    </row>
    <row r="130" spans="1:10" s="3" customFormat="1" ht="25.5">
      <c r="A130" s="90"/>
      <c r="B130" s="90"/>
      <c r="C130" s="116"/>
      <c r="D130" s="137" t="s">
        <v>4</v>
      </c>
      <c r="E130" s="137" t="s">
        <v>228</v>
      </c>
      <c r="F130" s="137" t="s">
        <v>229</v>
      </c>
      <c r="G130" s="138" t="s">
        <v>230</v>
      </c>
      <c r="H130" s="138" t="s">
        <v>230</v>
      </c>
      <c r="I130" s="138" t="s">
        <v>147</v>
      </c>
      <c r="J130" s="93" t="s">
        <v>4</v>
      </c>
    </row>
    <row r="131" spans="1:10" s="3" customFormat="1" ht="13.5" thickBot="1">
      <c r="A131" s="12"/>
      <c r="B131" s="13"/>
      <c r="C131" s="116"/>
      <c r="D131" s="139"/>
      <c r="E131" s="139"/>
      <c r="F131" s="140"/>
      <c r="G131" s="140" t="s">
        <v>231</v>
      </c>
      <c r="H131" s="140" t="s">
        <v>289</v>
      </c>
      <c r="I131" s="140" t="s">
        <v>143</v>
      </c>
      <c r="J131" s="88"/>
    </row>
    <row r="132" spans="1:10" s="3" customFormat="1" ht="13.5" thickBot="1">
      <c r="A132" s="288" t="s">
        <v>133</v>
      </c>
      <c r="B132" s="289"/>
      <c r="C132" s="290"/>
      <c r="D132" s="141" t="s">
        <v>5</v>
      </c>
      <c r="E132" s="141" t="s">
        <v>5</v>
      </c>
      <c r="F132" s="141" t="s">
        <v>5</v>
      </c>
      <c r="G132" s="141" t="s">
        <v>5</v>
      </c>
      <c r="H132" s="141" t="s">
        <v>5</v>
      </c>
      <c r="I132" s="141" t="s">
        <v>5</v>
      </c>
      <c r="J132" s="141" t="s">
        <v>5</v>
      </c>
    </row>
    <row r="133" spans="1:10" s="3" customFormat="1" ht="38.25">
      <c r="A133" s="5">
        <v>1</v>
      </c>
      <c r="B133" s="9"/>
      <c r="C133" s="101" t="s">
        <v>507</v>
      </c>
      <c r="D133" s="51">
        <f>D45</f>
        <v>0</v>
      </c>
      <c r="E133" s="51">
        <f aca="true" t="shared" si="26" ref="E133:J133">E45</f>
        <v>67100</v>
      </c>
      <c r="F133" s="51">
        <f t="shared" si="26"/>
        <v>15763.74</v>
      </c>
      <c r="G133" s="51">
        <f t="shared" si="26"/>
        <v>15000</v>
      </c>
      <c r="H133" s="51">
        <f t="shared" si="26"/>
        <v>29000</v>
      </c>
      <c r="I133" s="51">
        <f t="shared" si="26"/>
        <v>0</v>
      </c>
      <c r="J133" s="51">
        <f t="shared" si="26"/>
        <v>101763.73999999999</v>
      </c>
    </row>
    <row r="134" spans="1:10" s="3" customFormat="1" ht="26.25" thickBot="1">
      <c r="A134" s="5">
        <v>2</v>
      </c>
      <c r="B134" s="9"/>
      <c r="C134" s="101" t="s">
        <v>508</v>
      </c>
      <c r="D134" s="61">
        <f>D61</f>
        <v>0</v>
      </c>
      <c r="E134" s="61">
        <f aca="true" t="shared" si="27" ref="E134:J134">E61</f>
        <v>0</v>
      </c>
      <c r="F134" s="61">
        <f t="shared" si="27"/>
        <v>5000</v>
      </c>
      <c r="G134" s="61">
        <f t="shared" si="27"/>
        <v>0</v>
      </c>
      <c r="H134" s="61">
        <f t="shared" si="27"/>
        <v>0</v>
      </c>
      <c r="I134" s="61">
        <f t="shared" si="27"/>
        <v>0</v>
      </c>
      <c r="J134" s="61">
        <f t="shared" si="27"/>
        <v>0</v>
      </c>
    </row>
    <row r="135" spans="1:10" s="3" customFormat="1" ht="26.25" thickBot="1">
      <c r="A135" s="5">
        <v>3</v>
      </c>
      <c r="B135" s="9"/>
      <c r="C135" s="243" t="s">
        <v>509</v>
      </c>
      <c r="D135" s="77">
        <f>D79</f>
        <v>0</v>
      </c>
      <c r="E135" s="77">
        <f aca="true" t="shared" si="28" ref="E135:J135">E79</f>
        <v>16000</v>
      </c>
      <c r="F135" s="77">
        <f t="shared" si="28"/>
        <v>0</v>
      </c>
      <c r="G135" s="77">
        <f t="shared" si="28"/>
        <v>10000</v>
      </c>
      <c r="H135" s="77">
        <f t="shared" si="28"/>
        <v>18000</v>
      </c>
      <c r="I135" s="77">
        <f t="shared" si="28"/>
        <v>0</v>
      </c>
      <c r="J135" s="77">
        <f t="shared" si="28"/>
        <v>44000</v>
      </c>
    </row>
    <row r="136" spans="1:10" s="3" customFormat="1" ht="13.5" thickBot="1">
      <c r="A136" s="5">
        <v>4</v>
      </c>
      <c r="B136" s="9"/>
      <c r="C136" s="243" t="s">
        <v>510</v>
      </c>
      <c r="D136" s="61">
        <f>D95</f>
        <v>0</v>
      </c>
      <c r="E136" s="61">
        <f aca="true" t="shared" si="29" ref="E136:J136">E95</f>
        <v>15000</v>
      </c>
      <c r="F136" s="61">
        <f t="shared" si="29"/>
        <v>0</v>
      </c>
      <c r="G136" s="61">
        <f t="shared" si="29"/>
        <v>8000</v>
      </c>
      <c r="H136" s="61">
        <f t="shared" si="29"/>
        <v>18000</v>
      </c>
      <c r="I136" s="61">
        <f t="shared" si="29"/>
        <v>35000</v>
      </c>
      <c r="J136" s="61">
        <f t="shared" si="29"/>
        <v>76000</v>
      </c>
    </row>
    <row r="137" spans="1:10" s="3" customFormat="1" ht="39" thickBot="1">
      <c r="A137" s="5">
        <v>5</v>
      </c>
      <c r="B137" s="9"/>
      <c r="C137" s="244" t="s">
        <v>511</v>
      </c>
      <c r="D137" s="61">
        <f>D124</f>
        <v>0</v>
      </c>
      <c r="E137" s="61">
        <f aca="true" t="shared" si="30" ref="E137:J137">E124</f>
        <v>4000</v>
      </c>
      <c r="F137" s="61">
        <f t="shared" si="30"/>
        <v>15000</v>
      </c>
      <c r="G137" s="61">
        <f t="shared" si="30"/>
        <v>0</v>
      </c>
      <c r="H137" s="61">
        <f t="shared" si="30"/>
        <v>0</v>
      </c>
      <c r="I137" s="61">
        <f t="shared" si="30"/>
        <v>0</v>
      </c>
      <c r="J137" s="61">
        <f t="shared" si="30"/>
        <v>19000</v>
      </c>
    </row>
    <row r="138" spans="1:10" s="3" customFormat="1" ht="12.75">
      <c r="A138" s="5"/>
      <c r="B138" s="9"/>
      <c r="C138" s="116" t="s">
        <v>4</v>
      </c>
      <c r="D138" s="135">
        <f>D126</f>
        <v>0</v>
      </c>
      <c r="E138" s="135">
        <f aca="true" t="shared" si="31" ref="E138:J138">E126</f>
        <v>102100</v>
      </c>
      <c r="F138" s="135">
        <f t="shared" si="31"/>
        <v>35763.74</v>
      </c>
      <c r="G138" s="135">
        <f t="shared" si="31"/>
        <v>33000</v>
      </c>
      <c r="H138" s="135">
        <f t="shared" si="31"/>
        <v>65000</v>
      </c>
      <c r="I138" s="135">
        <f t="shared" si="31"/>
        <v>35000</v>
      </c>
      <c r="J138" s="135">
        <f t="shared" si="31"/>
        <v>240763.74</v>
      </c>
    </row>
    <row r="139" spans="1:10" s="3" customFormat="1" ht="12.75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s="3" customFormat="1" ht="12.75">
      <c r="A140" s="5"/>
      <c r="B140" s="9"/>
      <c r="C140" s="116"/>
      <c r="D140" s="135"/>
      <c r="E140" s="135"/>
      <c r="F140" s="135"/>
      <c r="G140" s="135"/>
      <c r="H140" s="135"/>
      <c r="I140" s="135"/>
      <c r="J140" s="2"/>
    </row>
    <row r="141" spans="1:10" s="3" customFormat="1" ht="12.75">
      <c r="A141" s="5"/>
      <c r="B141" s="9"/>
      <c r="C141" s="116"/>
      <c r="D141" s="135"/>
      <c r="E141" s="135"/>
      <c r="F141" s="135"/>
      <c r="G141" s="135"/>
      <c r="H141" s="135"/>
      <c r="I141" s="135"/>
      <c r="J141" s="2"/>
    </row>
    <row r="142" spans="1:10" ht="15">
      <c r="A142" s="7"/>
      <c r="B142" s="10"/>
      <c r="C142" s="133"/>
      <c r="D142" s="157"/>
      <c r="E142" s="157"/>
      <c r="F142" s="157"/>
      <c r="G142" s="157"/>
      <c r="H142" s="157"/>
      <c r="I142" s="157"/>
      <c r="J142" s="1"/>
    </row>
    <row r="143" spans="1:10" ht="15">
      <c r="A143" s="7"/>
      <c r="B143" s="10"/>
      <c r="C143" s="133"/>
      <c r="D143" s="157"/>
      <c r="E143" s="157"/>
      <c r="F143" s="157"/>
      <c r="G143" s="157"/>
      <c r="H143" s="157"/>
      <c r="I143" s="157"/>
      <c r="J143" s="1"/>
    </row>
    <row r="144" spans="1:10" ht="15">
      <c r="A144" s="7"/>
      <c r="B144" s="10"/>
      <c r="C144" s="133"/>
      <c r="D144" s="157"/>
      <c r="E144" s="157"/>
      <c r="F144" s="157"/>
      <c r="G144" s="157"/>
      <c r="H144" s="157"/>
      <c r="I144" s="157"/>
      <c r="J144" s="1"/>
    </row>
    <row r="145" spans="1:10" ht="15">
      <c r="A145" s="7"/>
      <c r="B145" s="10"/>
      <c r="C145" s="133"/>
      <c r="D145" s="157"/>
      <c r="E145" s="157"/>
      <c r="F145" s="157"/>
      <c r="G145" s="157"/>
      <c r="H145" s="157"/>
      <c r="I145" s="157"/>
      <c r="J145" s="1"/>
    </row>
    <row r="146" spans="1:10" ht="15">
      <c r="A146" s="7"/>
      <c r="B146" s="10"/>
      <c r="C146" s="133"/>
      <c r="D146" s="157"/>
      <c r="E146" s="157"/>
      <c r="F146" s="157"/>
      <c r="G146" s="157"/>
      <c r="H146" s="157"/>
      <c r="I146" s="157"/>
      <c r="J146" s="1"/>
    </row>
    <row r="147" spans="1:10" ht="15">
      <c r="A147" s="7"/>
      <c r="B147" s="10"/>
      <c r="C147" s="133"/>
      <c r="D147" s="157"/>
      <c r="E147" s="157"/>
      <c r="F147" s="157"/>
      <c r="G147" s="157"/>
      <c r="H147" s="157"/>
      <c r="I147" s="157"/>
      <c r="J147" s="1"/>
    </row>
    <row r="148" spans="1:10" ht="15">
      <c r="A148" s="7"/>
      <c r="B148" s="10"/>
      <c r="C148" s="133"/>
      <c r="D148" s="157"/>
      <c r="E148" s="157"/>
      <c r="F148" s="157"/>
      <c r="G148" s="157"/>
      <c r="H148" s="157"/>
      <c r="I148" s="157"/>
      <c r="J148" s="1"/>
    </row>
    <row r="149" spans="1:10" ht="15">
      <c r="A149" s="7"/>
      <c r="B149" s="10"/>
      <c r="C149" s="133"/>
      <c r="D149" s="157"/>
      <c r="E149" s="157"/>
      <c r="F149" s="157"/>
      <c r="G149" s="157"/>
      <c r="H149" s="157"/>
      <c r="I149" s="157"/>
      <c r="J149" s="1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  <row r="423" spans="1:10" ht="15">
      <c r="A423" s="7"/>
      <c r="B423" s="10"/>
      <c r="C423" s="133"/>
      <c r="D423" s="157"/>
      <c r="E423" s="157"/>
      <c r="F423" s="157"/>
      <c r="G423" s="157"/>
      <c r="H423" s="157"/>
      <c r="I423" s="157"/>
      <c r="J423" s="1"/>
    </row>
    <row r="424" spans="1:10" ht="15">
      <c r="A424" s="7"/>
      <c r="B424" s="10"/>
      <c r="C424" s="133"/>
      <c r="D424" s="157"/>
      <c r="E424" s="157"/>
      <c r="F424" s="157"/>
      <c r="G424" s="157"/>
      <c r="H424" s="157"/>
      <c r="I424" s="157"/>
      <c r="J424" s="1"/>
    </row>
  </sheetData>
  <mergeCells count="3">
    <mergeCell ref="A11:C11"/>
    <mergeCell ref="A1:J1"/>
    <mergeCell ref="A132:C132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1" max="255" man="1"/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3"/>
  <sheetViews>
    <sheetView showGridLines="0" zoomScale="140" zoomScaleNormal="140" workbookViewId="0" topLeftCell="A22">
      <selection activeCell="E29" sqref="E29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hidden="1" customWidth="1"/>
    <col min="5" max="6" width="8.296875" style="0" bestFit="1" customWidth="1"/>
    <col min="7" max="7" width="9.3984375" style="0" customWidth="1"/>
    <col min="8" max="8" width="9.59765625" style="0" customWidth="1"/>
    <col min="9" max="9" width="8" style="0" bestFit="1" customWidth="1"/>
    <col min="10" max="10" width="7.796875" style="0" customWidth="1"/>
    <col min="11" max="16384" width="11.59765625" style="0" customWidth="1"/>
  </cols>
  <sheetData>
    <row r="1" spans="1:10" s="3" customFormat="1" ht="30.75" customHeight="1">
      <c r="A1" s="294" t="s">
        <v>144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10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</row>
    <row r="4" spans="1:10" s="3" customFormat="1" ht="15">
      <c r="A4" s="43" t="s">
        <v>131</v>
      </c>
      <c r="B4" s="9"/>
      <c r="C4" s="116"/>
      <c r="D4" s="2" t="s">
        <v>226</v>
      </c>
      <c r="E4" s="2"/>
      <c r="F4"/>
      <c r="G4" s="2"/>
      <c r="H4" s="2"/>
      <c r="I4" s="2"/>
      <c r="J4" s="2"/>
    </row>
    <row r="5" spans="1:10" s="3" customFormat="1" ht="15">
      <c r="A5" s="43" t="s">
        <v>137</v>
      </c>
      <c r="B5" s="9"/>
      <c r="C5" s="116"/>
      <c r="D5" s="2" t="s">
        <v>224</v>
      </c>
      <c r="E5" s="2"/>
      <c r="F5"/>
      <c r="G5" s="2"/>
      <c r="H5" s="2"/>
      <c r="I5" s="2"/>
      <c r="J5" s="2"/>
    </row>
    <row r="6" spans="1:10" s="3" customFormat="1" ht="9.75" customHeight="1">
      <c r="A6" s="43"/>
      <c r="B6" s="9"/>
      <c r="C6" s="116"/>
      <c r="D6" s="2"/>
      <c r="E6" s="2"/>
      <c r="F6"/>
      <c r="G6" s="2"/>
      <c r="H6" s="2"/>
      <c r="I6" s="2"/>
      <c r="J6" s="2"/>
    </row>
    <row r="7" spans="1:10" s="3" customFormat="1" ht="15">
      <c r="A7" s="43" t="s">
        <v>142</v>
      </c>
      <c r="B7" s="9"/>
      <c r="C7" s="116"/>
      <c r="D7" s="2"/>
      <c r="E7" s="2"/>
      <c r="F7"/>
      <c r="G7" s="2"/>
      <c r="H7" s="2"/>
      <c r="I7" s="2"/>
      <c r="J7" s="2"/>
    </row>
    <row r="8" spans="1:10" s="3" customFormat="1" ht="15.75" thickBot="1">
      <c r="A8" s="43"/>
      <c r="B8" s="9"/>
      <c r="C8" s="116"/>
      <c r="D8" s="2"/>
      <c r="E8" s="2"/>
      <c r="F8"/>
      <c r="G8" s="2"/>
      <c r="H8" s="2"/>
      <c r="I8" s="2"/>
      <c r="J8" s="2"/>
    </row>
    <row r="9" spans="1:11" s="94" customFormat="1" ht="25.5" customHeight="1">
      <c r="A9" s="90"/>
      <c r="B9" s="90"/>
      <c r="C9" s="116"/>
      <c r="D9" s="91" t="s">
        <v>4</v>
      </c>
      <c r="E9" s="91" t="s">
        <v>146</v>
      </c>
      <c r="F9" s="137" t="s">
        <v>229</v>
      </c>
      <c r="G9" s="138" t="s">
        <v>230</v>
      </c>
      <c r="H9" s="138" t="s">
        <v>230</v>
      </c>
      <c r="I9" s="138" t="s">
        <v>147</v>
      </c>
      <c r="J9" s="93" t="s">
        <v>4</v>
      </c>
      <c r="K9" s="94" t="s">
        <v>320</v>
      </c>
    </row>
    <row r="10" spans="1:10" s="14" customFormat="1" ht="12.75" customHeight="1" thickBot="1">
      <c r="A10" s="12"/>
      <c r="B10" s="13"/>
      <c r="C10" s="116"/>
      <c r="D10" s="87"/>
      <c r="E10" s="87"/>
      <c r="F10" s="140"/>
      <c r="G10" s="140" t="s">
        <v>231</v>
      </c>
      <c r="H10" s="140" t="s">
        <v>289</v>
      </c>
      <c r="I10" s="140" t="s">
        <v>143</v>
      </c>
      <c r="J10" s="88"/>
    </row>
    <row r="11" spans="1:10" s="14" customFormat="1" ht="12.75" customHeight="1" thickBot="1">
      <c r="A11" s="288" t="s">
        <v>133</v>
      </c>
      <c r="B11" s="289"/>
      <c r="C11" s="290"/>
      <c r="D11" s="31" t="s">
        <v>5</v>
      </c>
      <c r="E11" s="31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8"/>
    </row>
    <row r="14" spans="1:10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7"/>
    </row>
    <row r="15" spans="1:11" s="3" customFormat="1" ht="12.75">
      <c r="A15" s="25"/>
      <c r="B15" s="26" t="s">
        <v>8</v>
      </c>
      <c r="C15" s="120" t="s">
        <v>286</v>
      </c>
      <c r="D15" s="16"/>
      <c r="E15" s="147">
        <f>500*24</f>
        <v>12000</v>
      </c>
      <c r="F15" s="16"/>
      <c r="G15" s="16"/>
      <c r="H15" s="147">
        <v>12000</v>
      </c>
      <c r="I15" s="16"/>
      <c r="J15" s="23">
        <f>SUM(E15:I15)</f>
        <v>24000</v>
      </c>
      <c r="K15" s="150">
        <f>E15</f>
        <v>12000</v>
      </c>
    </row>
    <row r="16" spans="1:11" s="3" customFormat="1" ht="12.75">
      <c r="A16" s="25"/>
      <c r="B16" s="26" t="s">
        <v>9</v>
      </c>
      <c r="C16" s="120"/>
      <c r="D16" s="16"/>
      <c r="E16" s="16"/>
      <c r="F16" s="16"/>
      <c r="G16" s="16"/>
      <c r="H16" s="16"/>
      <c r="I16" s="16"/>
      <c r="J16" s="23">
        <f>SUM(E16:I16)</f>
        <v>0</v>
      </c>
      <c r="K16" s="150"/>
    </row>
    <row r="17" spans="1:11" s="3" customFormat="1" ht="12.75">
      <c r="A17" s="25"/>
      <c r="B17" s="39" t="s">
        <v>10</v>
      </c>
      <c r="C17" s="121" t="s">
        <v>138</v>
      </c>
      <c r="D17" s="17">
        <f aca="true" t="shared" si="0" ref="D17:J17">SUM(D15:D16)</f>
        <v>0</v>
      </c>
      <c r="E17" s="17">
        <f t="shared" si="0"/>
        <v>12000</v>
      </c>
      <c r="F17" s="17">
        <f t="shared" si="0"/>
        <v>0</v>
      </c>
      <c r="G17" s="17">
        <f t="shared" si="0"/>
        <v>0</v>
      </c>
      <c r="H17" s="17">
        <f t="shared" si="0"/>
        <v>12000</v>
      </c>
      <c r="I17" s="17">
        <f t="shared" si="0"/>
        <v>0</v>
      </c>
      <c r="J17" s="23">
        <f t="shared" si="0"/>
        <v>24000</v>
      </c>
      <c r="K17" s="150"/>
    </row>
    <row r="18" spans="1:11" s="3" customFormat="1" ht="12.75">
      <c r="A18" s="59"/>
      <c r="B18" s="60" t="s">
        <v>11</v>
      </c>
      <c r="C18" s="122" t="s">
        <v>108</v>
      </c>
      <c r="D18" s="61"/>
      <c r="E18" s="61"/>
      <c r="F18" s="61"/>
      <c r="G18" s="61"/>
      <c r="H18" s="61"/>
      <c r="I18" s="61"/>
      <c r="J18" s="62"/>
      <c r="K18" s="150"/>
    </row>
    <row r="19" spans="1:11" s="3" customFormat="1" ht="12.75">
      <c r="A19" s="54"/>
      <c r="B19" s="55"/>
      <c r="C19" s="119" t="s">
        <v>114</v>
      </c>
      <c r="D19" s="56"/>
      <c r="E19" s="56"/>
      <c r="F19" s="56"/>
      <c r="G19" s="56"/>
      <c r="H19" s="56"/>
      <c r="I19" s="56"/>
      <c r="J19" s="57"/>
      <c r="K19" s="150"/>
    </row>
    <row r="20" spans="1:11" s="3" customFormat="1" ht="12.75">
      <c r="A20" s="25"/>
      <c r="B20" s="26" t="s">
        <v>12</v>
      </c>
      <c r="C20" s="121" t="s">
        <v>287</v>
      </c>
      <c r="D20" s="15"/>
      <c r="E20" s="150"/>
      <c r="F20" s="150">
        <v>5681.24</v>
      </c>
      <c r="G20" s="15"/>
      <c r="H20" s="150">
        <v>3000</v>
      </c>
      <c r="I20" s="15"/>
      <c r="J20" s="23">
        <f>SUM(F20:I20)</f>
        <v>8681.24</v>
      </c>
      <c r="K20" s="150">
        <f>F20</f>
        <v>5681.24</v>
      </c>
    </row>
    <row r="21" spans="1:11" s="3" customFormat="1" ht="12.75">
      <c r="A21" s="25"/>
      <c r="B21" s="26" t="s">
        <v>13</v>
      </c>
      <c r="C21" s="121" t="s">
        <v>288</v>
      </c>
      <c r="D21" s="15"/>
      <c r="F21" s="150"/>
      <c r="G21" s="15"/>
      <c r="H21" s="150">
        <v>3000</v>
      </c>
      <c r="I21" s="15"/>
      <c r="J21" s="23">
        <f>SUM(F21:I21)</f>
        <v>3000</v>
      </c>
      <c r="K21" s="150"/>
    </row>
    <row r="22" spans="1:11" s="3" customFormat="1" ht="25.5">
      <c r="A22" s="25"/>
      <c r="B22" s="26" t="s">
        <v>14</v>
      </c>
      <c r="C22" s="120" t="s">
        <v>308</v>
      </c>
      <c r="D22" s="15"/>
      <c r="E22" s="150">
        <f>200*30</f>
        <v>6000</v>
      </c>
      <c r="F22" s="15"/>
      <c r="G22" s="15"/>
      <c r="H22" s="15"/>
      <c r="I22" s="15"/>
      <c r="J22" s="23">
        <f>SUM(E22:I22)</f>
        <v>6000</v>
      </c>
      <c r="K22" s="150">
        <f>E22</f>
        <v>6000</v>
      </c>
    </row>
    <row r="23" spans="1:11" s="3" customFormat="1" ht="25.5">
      <c r="A23" s="25"/>
      <c r="B23" s="26" t="s">
        <v>153</v>
      </c>
      <c r="C23" s="120" t="s">
        <v>309</v>
      </c>
      <c r="D23" s="15"/>
      <c r="E23" s="150">
        <f>200*30</f>
        <v>6000</v>
      </c>
      <c r="F23" s="15"/>
      <c r="G23" s="15">
        <v>2000</v>
      </c>
      <c r="H23" s="15">
        <v>3000</v>
      </c>
      <c r="I23" s="15">
        <v>10000</v>
      </c>
      <c r="J23" s="23">
        <f>SUM(E23:I23)</f>
        <v>21000</v>
      </c>
      <c r="K23" s="150"/>
    </row>
    <row r="24" spans="1:11" s="3" customFormat="1" ht="25.5">
      <c r="A24" s="25"/>
      <c r="B24" s="26" t="s">
        <v>154</v>
      </c>
      <c r="C24" s="120" t="s">
        <v>317</v>
      </c>
      <c r="D24" s="15"/>
      <c r="E24" s="150">
        <f>200*20</f>
        <v>4000</v>
      </c>
      <c r="F24" s="15"/>
      <c r="G24" s="15"/>
      <c r="H24" s="15"/>
      <c r="I24" s="15"/>
      <c r="J24" s="23">
        <f>SUM(E24:I24)</f>
        <v>4000</v>
      </c>
      <c r="K24" s="150">
        <f>E24*3/5</f>
        <v>2400</v>
      </c>
    </row>
    <row r="25" spans="1:11" s="3" customFormat="1" ht="12.75">
      <c r="A25" s="25"/>
      <c r="B25" s="39" t="s">
        <v>15</v>
      </c>
      <c r="C25" s="121" t="s">
        <v>138</v>
      </c>
      <c r="D25" s="17">
        <f aca="true" t="shared" si="1" ref="D25:J25">SUM(D20:D24)</f>
        <v>0</v>
      </c>
      <c r="E25" s="17">
        <f t="shared" si="1"/>
        <v>16000</v>
      </c>
      <c r="F25" s="17">
        <f>SUM(F20:F24)</f>
        <v>5681.24</v>
      </c>
      <c r="G25" s="17">
        <f t="shared" si="1"/>
        <v>2000</v>
      </c>
      <c r="H25" s="17">
        <f>SUM(H20:H24)</f>
        <v>9000</v>
      </c>
      <c r="I25" s="17">
        <f t="shared" si="1"/>
        <v>10000</v>
      </c>
      <c r="J25" s="23">
        <f t="shared" si="1"/>
        <v>42681.24</v>
      </c>
      <c r="K25" s="150"/>
    </row>
    <row r="26" spans="1:11" s="3" customFormat="1" ht="12.75">
      <c r="A26" s="59"/>
      <c r="B26" s="66" t="s">
        <v>16</v>
      </c>
      <c r="C26" s="123" t="s">
        <v>95</v>
      </c>
      <c r="D26" s="61"/>
      <c r="E26" s="61"/>
      <c r="F26" s="61"/>
      <c r="G26" s="61"/>
      <c r="H26" s="61"/>
      <c r="I26" s="61"/>
      <c r="J26" s="62"/>
      <c r="K26" s="150"/>
    </row>
    <row r="27" spans="1:11" s="3" customFormat="1" ht="12.75">
      <c r="A27" s="54"/>
      <c r="B27" s="67"/>
      <c r="C27" s="119" t="s">
        <v>113</v>
      </c>
      <c r="D27" s="56"/>
      <c r="E27" s="56"/>
      <c r="F27" s="56"/>
      <c r="G27" s="56"/>
      <c r="H27" s="56"/>
      <c r="I27" s="56"/>
      <c r="J27" s="57"/>
      <c r="K27" s="150"/>
    </row>
    <row r="28" spans="1:11" s="3" customFormat="1" ht="12.75">
      <c r="A28" s="25"/>
      <c r="B28" s="39" t="s">
        <v>17</v>
      </c>
      <c r="C28" s="124" t="s">
        <v>290</v>
      </c>
      <c r="D28" s="147"/>
      <c r="E28" s="147">
        <v>3200</v>
      </c>
      <c r="F28" s="147"/>
      <c r="G28" s="147"/>
      <c r="H28" s="147">
        <f>E28</f>
        <v>3200</v>
      </c>
      <c r="I28" s="147"/>
      <c r="J28" s="23">
        <f>SUM(E28:I28)</f>
        <v>6400</v>
      </c>
      <c r="K28" s="150"/>
    </row>
    <row r="29" spans="1:11" s="3" customFormat="1" ht="12.75">
      <c r="A29" s="25"/>
      <c r="B29" s="39" t="s">
        <v>18</v>
      </c>
      <c r="C29" s="124"/>
      <c r="D29" s="16"/>
      <c r="E29" s="16"/>
      <c r="F29" s="16"/>
      <c r="G29" s="16"/>
      <c r="H29" s="16"/>
      <c r="I29" s="16"/>
      <c r="J29" s="23">
        <f>SUM(E29:I29)</f>
        <v>0</v>
      </c>
      <c r="K29" s="150"/>
    </row>
    <row r="30" spans="1:11" s="3" customFormat="1" ht="12.75">
      <c r="A30" s="25"/>
      <c r="B30" s="39" t="s">
        <v>20</v>
      </c>
      <c r="C30" s="121" t="s">
        <v>138</v>
      </c>
      <c r="D30" s="17">
        <f aca="true" t="shared" si="2" ref="D30:J30">SUM(D28:D29)</f>
        <v>0</v>
      </c>
      <c r="E30" s="17">
        <f t="shared" si="2"/>
        <v>3200</v>
      </c>
      <c r="F30" s="17">
        <f t="shared" si="2"/>
        <v>0</v>
      </c>
      <c r="G30" s="17">
        <f t="shared" si="2"/>
        <v>0</v>
      </c>
      <c r="H30" s="17">
        <f t="shared" si="2"/>
        <v>3200</v>
      </c>
      <c r="I30" s="17">
        <f t="shared" si="2"/>
        <v>0</v>
      </c>
      <c r="J30" s="23">
        <f t="shared" si="2"/>
        <v>6400</v>
      </c>
      <c r="K30" s="150"/>
    </row>
    <row r="31" spans="1:11" s="3" customFormat="1" ht="12.75">
      <c r="A31" s="25"/>
      <c r="B31" s="40" t="s">
        <v>21</v>
      </c>
      <c r="C31" s="125" t="s">
        <v>110</v>
      </c>
      <c r="D31" s="15"/>
      <c r="E31" s="15"/>
      <c r="F31" s="15"/>
      <c r="G31" s="15"/>
      <c r="H31" s="15"/>
      <c r="I31" s="15"/>
      <c r="J31" s="34"/>
      <c r="K31" s="150"/>
    </row>
    <row r="32" spans="1:11" s="3" customFormat="1" ht="12.75">
      <c r="A32" s="25"/>
      <c r="B32" s="39" t="s">
        <v>22</v>
      </c>
      <c r="C32" s="124"/>
      <c r="D32" s="15"/>
      <c r="E32" s="15"/>
      <c r="F32" s="15"/>
      <c r="G32" s="15"/>
      <c r="H32" s="15"/>
      <c r="I32" s="15"/>
      <c r="J32" s="23">
        <f>SUM(E32:I32)</f>
        <v>0</v>
      </c>
      <c r="K32" s="150"/>
    </row>
    <row r="33" spans="1:11" s="3" customFormat="1" ht="12.75">
      <c r="A33" s="25"/>
      <c r="B33" s="39" t="s">
        <v>23</v>
      </c>
      <c r="C33" s="124"/>
      <c r="D33" s="15"/>
      <c r="E33" s="15"/>
      <c r="F33" s="15"/>
      <c r="G33" s="15"/>
      <c r="H33" s="15"/>
      <c r="I33" s="15"/>
      <c r="J33" s="23">
        <f>SUM(E33:I33)</f>
        <v>0</v>
      </c>
      <c r="K33" s="150"/>
    </row>
    <row r="34" spans="1:11" s="3" customFormat="1" ht="12.75">
      <c r="A34" s="25"/>
      <c r="B34" s="39" t="s">
        <v>24</v>
      </c>
      <c r="C34" s="121" t="s">
        <v>138</v>
      </c>
      <c r="D34" s="17">
        <f aca="true" t="shared" si="3" ref="D34:J34">SUM(D32:D33)</f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23">
        <f t="shared" si="3"/>
        <v>0</v>
      </c>
      <c r="K34" s="150"/>
    </row>
    <row r="35" spans="1:11" s="3" customFormat="1" ht="12.75">
      <c r="A35" s="25"/>
      <c r="B35" s="40" t="s">
        <v>25</v>
      </c>
      <c r="C35" s="125" t="s">
        <v>91</v>
      </c>
      <c r="D35" s="15"/>
      <c r="E35" s="15"/>
      <c r="F35" s="15"/>
      <c r="G35" s="15"/>
      <c r="H35" s="15"/>
      <c r="I35" s="15"/>
      <c r="J35" s="34"/>
      <c r="K35" s="150"/>
    </row>
    <row r="36" spans="1:11" s="3" customFormat="1" ht="12.75">
      <c r="A36" s="25"/>
      <c r="B36" s="39" t="s">
        <v>26</v>
      </c>
      <c r="C36" s="124" t="s">
        <v>291</v>
      </c>
      <c r="D36" s="150"/>
      <c r="E36" s="150">
        <v>5000</v>
      </c>
      <c r="F36" s="150"/>
      <c r="G36" s="150">
        <v>2000</v>
      </c>
      <c r="H36" s="150">
        <v>2000</v>
      </c>
      <c r="I36" s="150"/>
      <c r="J36" s="23">
        <f>SUM(E36:I36)</f>
        <v>9000</v>
      </c>
      <c r="K36" s="150">
        <f>E36*3/5</f>
        <v>3000</v>
      </c>
    </row>
    <row r="37" spans="1:11" s="3" customFormat="1" ht="12.75">
      <c r="A37" s="25"/>
      <c r="B37" s="39" t="s">
        <v>27</v>
      </c>
      <c r="C37" s="124" t="s">
        <v>292</v>
      </c>
      <c r="D37" s="150"/>
      <c r="E37" s="150">
        <v>6500</v>
      </c>
      <c r="F37" s="150"/>
      <c r="G37" s="150">
        <v>4000</v>
      </c>
      <c r="H37" s="150">
        <v>5000</v>
      </c>
      <c r="I37" s="150"/>
      <c r="J37" s="23">
        <f>SUM(E37:I37)</f>
        <v>15500</v>
      </c>
      <c r="K37" s="150">
        <f>E37*3/5</f>
        <v>3900</v>
      </c>
    </row>
    <row r="38" spans="1:11" s="3" customFormat="1" ht="12.75">
      <c r="A38" s="25"/>
      <c r="B38" s="39" t="s">
        <v>112</v>
      </c>
      <c r="C38" s="124" t="s">
        <v>248</v>
      </c>
      <c r="D38" s="150"/>
      <c r="E38" s="150"/>
      <c r="F38" s="150">
        <v>10000</v>
      </c>
      <c r="I38" s="150"/>
      <c r="J38" s="23">
        <f>SUM(G38:I38)</f>
        <v>0</v>
      </c>
      <c r="K38" s="150"/>
    </row>
    <row r="39" spans="1:11" s="3" customFormat="1" ht="12.75">
      <c r="A39" s="25"/>
      <c r="B39" s="39" t="s">
        <v>28</v>
      </c>
      <c r="C39" s="121" t="s">
        <v>138</v>
      </c>
      <c r="D39" s="17">
        <f aca="true" t="shared" si="4" ref="D39:J39">SUM(D36:D38)</f>
        <v>0</v>
      </c>
      <c r="E39" s="17">
        <f t="shared" si="4"/>
        <v>11500</v>
      </c>
      <c r="F39" s="17">
        <f t="shared" si="4"/>
        <v>10000</v>
      </c>
      <c r="G39" s="17">
        <f t="shared" si="4"/>
        <v>6000</v>
      </c>
      <c r="H39" s="17">
        <f t="shared" si="4"/>
        <v>7000</v>
      </c>
      <c r="I39" s="17">
        <f t="shared" si="4"/>
        <v>0</v>
      </c>
      <c r="J39" s="23">
        <f t="shared" si="4"/>
        <v>24500</v>
      </c>
      <c r="K39" s="150"/>
    </row>
    <row r="40" spans="1:11" s="3" customFormat="1" ht="12.75">
      <c r="A40" s="35"/>
      <c r="B40" s="36">
        <v>1999</v>
      </c>
      <c r="C40" s="126" t="s">
        <v>29</v>
      </c>
      <c r="D40" s="17">
        <f aca="true" t="shared" si="5" ref="D40:J40">+D17+D25+D30+D34+D39</f>
        <v>0</v>
      </c>
      <c r="E40" s="17">
        <f t="shared" si="5"/>
        <v>42700</v>
      </c>
      <c r="F40" s="17">
        <f t="shared" si="5"/>
        <v>15681.24</v>
      </c>
      <c r="G40" s="17">
        <f t="shared" si="5"/>
        <v>8000</v>
      </c>
      <c r="H40" s="17">
        <f t="shared" si="5"/>
        <v>31200</v>
      </c>
      <c r="I40" s="17">
        <f t="shared" si="5"/>
        <v>10000</v>
      </c>
      <c r="J40" s="23">
        <f t="shared" si="5"/>
        <v>97581.23999999999</v>
      </c>
      <c r="K40" s="150"/>
    </row>
    <row r="41" spans="1:11" s="3" customFormat="1" ht="12.75">
      <c r="A41" s="80">
        <v>20</v>
      </c>
      <c r="B41" s="74" t="s">
        <v>104</v>
      </c>
      <c r="C41" s="127"/>
      <c r="D41" s="61"/>
      <c r="E41" s="61"/>
      <c r="F41" s="61"/>
      <c r="G41" s="61"/>
      <c r="H41" s="61"/>
      <c r="I41" s="61"/>
      <c r="J41" s="62"/>
      <c r="K41" s="150"/>
    </row>
    <row r="42" spans="1:11" s="3" customFormat="1" ht="12.75">
      <c r="A42" s="22"/>
      <c r="B42" s="76" t="s">
        <v>30</v>
      </c>
      <c r="C42" s="118" t="s">
        <v>115</v>
      </c>
      <c r="D42" s="81"/>
      <c r="E42" s="81"/>
      <c r="F42" s="81"/>
      <c r="G42" s="81"/>
      <c r="H42" s="81"/>
      <c r="I42" s="81"/>
      <c r="J42" s="82"/>
      <c r="K42" s="150"/>
    </row>
    <row r="43" spans="1:11" s="3" customFormat="1" ht="12.75">
      <c r="A43" s="54"/>
      <c r="B43" s="55"/>
      <c r="C43" s="119" t="s">
        <v>116</v>
      </c>
      <c r="D43" s="70"/>
      <c r="E43" s="70"/>
      <c r="F43" s="70"/>
      <c r="G43" s="70"/>
      <c r="H43" s="70"/>
      <c r="I43" s="70"/>
      <c r="J43" s="65"/>
      <c r="K43" s="150"/>
    </row>
    <row r="44" spans="1:11" s="3" customFormat="1" ht="12.75">
      <c r="A44" s="25"/>
      <c r="B44" s="26" t="s">
        <v>31</v>
      </c>
      <c r="C44" s="120"/>
      <c r="D44" s="16"/>
      <c r="E44" s="16"/>
      <c r="F44" s="16"/>
      <c r="G44" s="16"/>
      <c r="H44" s="16"/>
      <c r="I44" s="16"/>
      <c r="J44" s="23">
        <f>SUM(E44:I44)</f>
        <v>0</v>
      </c>
      <c r="K44" s="150"/>
    </row>
    <row r="45" spans="1:11" s="3" customFormat="1" ht="12.75">
      <c r="A45" s="25"/>
      <c r="B45" s="39" t="s">
        <v>32</v>
      </c>
      <c r="C45" s="121" t="s">
        <v>138</v>
      </c>
      <c r="D45" s="17">
        <f aca="true" t="shared" si="6" ref="D45:J45">SUM(D44:D44)</f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23">
        <f t="shared" si="6"/>
        <v>0</v>
      </c>
      <c r="K45" s="150"/>
    </row>
    <row r="46" spans="1:11" s="3" customFormat="1" ht="12.75">
      <c r="A46" s="59"/>
      <c r="B46" s="66" t="s">
        <v>33</v>
      </c>
      <c r="C46" s="122" t="s">
        <v>117</v>
      </c>
      <c r="D46" s="68"/>
      <c r="E46" s="68"/>
      <c r="F46" s="68"/>
      <c r="G46" s="68"/>
      <c r="H46" s="68"/>
      <c r="I46" s="68"/>
      <c r="J46" s="64"/>
      <c r="K46" s="150"/>
    </row>
    <row r="47" spans="1:11" s="3" customFormat="1" ht="12.75">
      <c r="A47" s="54"/>
      <c r="B47" s="67"/>
      <c r="C47" s="128" t="s">
        <v>118</v>
      </c>
      <c r="D47" s="70"/>
      <c r="E47" s="70"/>
      <c r="F47" s="70"/>
      <c r="G47" s="70"/>
      <c r="H47" s="70"/>
      <c r="I47" s="70"/>
      <c r="J47" s="65"/>
      <c r="K47" s="150"/>
    </row>
    <row r="48" spans="1:11" s="3" customFormat="1" ht="12.75">
      <c r="A48" s="25"/>
      <c r="B48" s="39" t="s">
        <v>34</v>
      </c>
      <c r="C48" s="124" t="s">
        <v>298</v>
      </c>
      <c r="D48" s="150"/>
      <c r="E48" s="150">
        <v>3000</v>
      </c>
      <c r="F48" s="150"/>
      <c r="G48" s="150"/>
      <c r="H48" s="150">
        <v>1600</v>
      </c>
      <c r="I48" s="150"/>
      <c r="J48" s="23">
        <f aca="true" t="shared" si="7" ref="J48:J59">SUM(E48:I48)</f>
        <v>4600</v>
      </c>
      <c r="K48" s="150">
        <f>2*E48/3</f>
        <v>2000</v>
      </c>
    </row>
    <row r="49" spans="1:11" s="3" customFormat="1" ht="12.75">
      <c r="A49" s="25"/>
      <c r="B49" s="39" t="s">
        <v>35</v>
      </c>
      <c r="C49" s="124" t="s">
        <v>299</v>
      </c>
      <c r="D49" s="150"/>
      <c r="E49" s="150">
        <v>7000</v>
      </c>
      <c r="F49" s="150"/>
      <c r="G49" s="150"/>
      <c r="H49" s="150">
        <v>5000</v>
      </c>
      <c r="I49" s="150"/>
      <c r="J49" s="23">
        <f t="shared" si="7"/>
        <v>12000</v>
      </c>
      <c r="K49" s="150">
        <f>E49/2</f>
        <v>3500</v>
      </c>
    </row>
    <row r="50" spans="1:11" s="3" customFormat="1" ht="12.75">
      <c r="A50" s="25"/>
      <c r="B50" s="39" t="s">
        <v>36</v>
      </c>
      <c r="C50" s="124" t="s">
        <v>305</v>
      </c>
      <c r="D50" s="150"/>
      <c r="E50" s="150">
        <v>53000</v>
      </c>
      <c r="F50" s="150"/>
      <c r="G50" s="150">
        <v>18000</v>
      </c>
      <c r="H50" s="150">
        <v>20000</v>
      </c>
      <c r="I50" s="150"/>
      <c r="J50" s="23">
        <f t="shared" si="7"/>
        <v>91000</v>
      </c>
      <c r="K50" s="150">
        <f>E50</f>
        <v>53000</v>
      </c>
    </row>
    <row r="51" spans="1:11" s="3" customFormat="1" ht="12.75">
      <c r="A51" s="25"/>
      <c r="B51" s="39" t="s">
        <v>165</v>
      </c>
      <c r="C51" s="124" t="s">
        <v>306</v>
      </c>
      <c r="D51" s="150"/>
      <c r="E51" s="150">
        <v>5000</v>
      </c>
      <c r="F51" s="150"/>
      <c r="G51" s="150">
        <v>1000</v>
      </c>
      <c r="H51" s="150">
        <v>2000</v>
      </c>
      <c r="I51" s="150"/>
      <c r="J51" s="23">
        <f t="shared" si="7"/>
        <v>8000</v>
      </c>
      <c r="K51" s="150">
        <f>E51</f>
        <v>5000</v>
      </c>
    </row>
    <row r="52" spans="1:11" s="3" customFormat="1" ht="12.75">
      <c r="A52" s="25"/>
      <c r="B52" s="39" t="s">
        <v>215</v>
      </c>
      <c r="C52" s="124" t="s">
        <v>307</v>
      </c>
      <c r="D52" s="150"/>
      <c r="E52" s="150">
        <v>10000</v>
      </c>
      <c r="F52" s="150"/>
      <c r="G52" s="150"/>
      <c r="H52" s="150"/>
      <c r="I52" s="150"/>
      <c r="J52" s="23">
        <f t="shared" si="7"/>
        <v>10000</v>
      </c>
      <c r="K52" s="150">
        <f>E52</f>
        <v>10000</v>
      </c>
    </row>
    <row r="53" spans="1:11" s="3" customFormat="1" ht="12.75">
      <c r="A53" s="25"/>
      <c r="B53" s="39" t="s">
        <v>216</v>
      </c>
      <c r="C53" s="124" t="s">
        <v>300</v>
      </c>
      <c r="D53" s="150"/>
      <c r="E53" s="150">
        <v>15000</v>
      </c>
      <c r="F53" s="150"/>
      <c r="G53" s="150"/>
      <c r="H53" s="150">
        <v>10000</v>
      </c>
      <c r="I53" s="150"/>
      <c r="J53" s="23">
        <f t="shared" si="7"/>
        <v>25000</v>
      </c>
      <c r="K53" s="150">
        <f>10000</f>
        <v>10000</v>
      </c>
    </row>
    <row r="54" spans="1:11" s="3" customFormat="1" ht="12.75">
      <c r="A54" s="25"/>
      <c r="B54" s="39" t="s">
        <v>217</v>
      </c>
      <c r="C54" s="124" t="s">
        <v>301</v>
      </c>
      <c r="D54" s="150"/>
      <c r="E54" s="150">
        <v>10000</v>
      </c>
      <c r="F54" s="150"/>
      <c r="G54" s="150"/>
      <c r="H54" s="150">
        <v>5000</v>
      </c>
      <c r="I54" s="150"/>
      <c r="J54" s="23">
        <f t="shared" si="7"/>
        <v>15000</v>
      </c>
      <c r="K54" s="150"/>
    </row>
    <row r="55" spans="1:11" s="3" customFormat="1" ht="12.75">
      <c r="A55" s="25"/>
      <c r="B55" s="39" t="s">
        <v>293</v>
      </c>
      <c r="C55" s="124" t="s">
        <v>302</v>
      </c>
      <c r="D55" s="150"/>
      <c r="E55" s="150">
        <v>10000</v>
      </c>
      <c r="F55" s="150"/>
      <c r="G55" s="150"/>
      <c r="H55" s="150">
        <v>5000</v>
      </c>
      <c r="I55" s="150"/>
      <c r="J55" s="23">
        <f t="shared" si="7"/>
        <v>15000</v>
      </c>
      <c r="K55" s="150">
        <f>E55</f>
        <v>10000</v>
      </c>
    </row>
    <row r="56" spans="1:11" s="3" customFormat="1" ht="12.75">
      <c r="A56" s="25"/>
      <c r="B56" s="39" t="s">
        <v>294</v>
      </c>
      <c r="C56" s="124" t="s">
        <v>303</v>
      </c>
      <c r="D56" s="150"/>
      <c r="E56" s="150">
        <v>6000</v>
      </c>
      <c r="F56" s="150"/>
      <c r="G56" s="150"/>
      <c r="H56" s="150"/>
      <c r="I56" s="150"/>
      <c r="J56" s="23">
        <f t="shared" si="7"/>
        <v>6000</v>
      </c>
      <c r="K56" s="150">
        <f>2*E56/3</f>
        <v>4000</v>
      </c>
    </row>
    <row r="57" spans="1:11" s="3" customFormat="1" ht="12.75">
      <c r="A57" s="25"/>
      <c r="B57" s="39" t="s">
        <v>295</v>
      </c>
      <c r="C57" s="124" t="s">
        <v>304</v>
      </c>
      <c r="D57" s="150"/>
      <c r="E57" s="150">
        <v>2700</v>
      </c>
      <c r="F57" s="150"/>
      <c r="G57" s="150"/>
      <c r="H57" s="150">
        <v>4000</v>
      </c>
      <c r="I57" s="150"/>
      <c r="J57" s="23">
        <f t="shared" si="7"/>
        <v>6700</v>
      </c>
      <c r="K57" s="150">
        <f>E57/2</f>
        <v>1350</v>
      </c>
    </row>
    <row r="58" spans="1:11" s="3" customFormat="1" ht="25.5">
      <c r="A58" s="25"/>
      <c r="B58" s="39" t="s">
        <v>296</v>
      </c>
      <c r="C58" s="124" t="s">
        <v>318</v>
      </c>
      <c r="D58" s="150"/>
      <c r="E58" s="150">
        <v>3000</v>
      </c>
      <c r="F58" s="150"/>
      <c r="G58" s="150">
        <v>2000</v>
      </c>
      <c r="H58" s="150">
        <v>3000</v>
      </c>
      <c r="I58" s="150">
        <v>3000</v>
      </c>
      <c r="J58" s="23">
        <f t="shared" si="7"/>
        <v>11000</v>
      </c>
      <c r="K58" s="150">
        <f>E58</f>
        <v>3000</v>
      </c>
    </row>
    <row r="59" spans="1:11" s="3" customFormat="1" ht="25.5">
      <c r="A59" s="25"/>
      <c r="B59" s="39" t="s">
        <v>297</v>
      </c>
      <c r="C59" s="124" t="s">
        <v>319</v>
      </c>
      <c r="D59" s="150"/>
      <c r="E59" s="150">
        <v>5000</v>
      </c>
      <c r="G59" s="150"/>
      <c r="H59" s="150">
        <v>4000</v>
      </c>
      <c r="I59" s="150">
        <f>200*50</f>
        <v>10000</v>
      </c>
      <c r="J59" s="23">
        <f t="shared" si="7"/>
        <v>19000</v>
      </c>
      <c r="K59" s="150"/>
    </row>
    <row r="60" spans="1:11" s="3" customFormat="1" ht="12.75">
      <c r="A60" s="25"/>
      <c r="B60" s="39" t="s">
        <v>37</v>
      </c>
      <c r="C60" s="121" t="s">
        <v>138</v>
      </c>
      <c r="D60" s="17">
        <f aca="true" t="shared" si="8" ref="D60:J60">SUM(D48:D59)</f>
        <v>0</v>
      </c>
      <c r="E60" s="17">
        <f t="shared" si="8"/>
        <v>129700</v>
      </c>
      <c r="F60" s="17">
        <f t="shared" si="8"/>
        <v>0</v>
      </c>
      <c r="G60" s="17">
        <f t="shared" si="8"/>
        <v>21000</v>
      </c>
      <c r="H60" s="17">
        <f t="shared" si="8"/>
        <v>59600</v>
      </c>
      <c r="I60" s="17">
        <f t="shared" si="8"/>
        <v>13000</v>
      </c>
      <c r="J60" s="23">
        <f t="shared" si="8"/>
        <v>223300</v>
      </c>
      <c r="K60" s="150"/>
    </row>
    <row r="61" spans="1:11" s="3" customFormat="1" ht="12.75">
      <c r="A61" s="25"/>
      <c r="B61" s="40" t="s">
        <v>38</v>
      </c>
      <c r="C61" s="125" t="s">
        <v>126</v>
      </c>
      <c r="D61" s="16"/>
      <c r="E61" s="16"/>
      <c r="F61" s="16"/>
      <c r="G61" s="16"/>
      <c r="H61" s="16"/>
      <c r="I61" s="16"/>
      <c r="J61" s="23"/>
      <c r="K61" s="150"/>
    </row>
    <row r="62" spans="1:11" s="3" customFormat="1" ht="12.75">
      <c r="A62" s="25"/>
      <c r="B62" s="39" t="s">
        <v>39</v>
      </c>
      <c r="C62" s="124"/>
      <c r="D62" s="16"/>
      <c r="E62" s="16"/>
      <c r="F62" s="16"/>
      <c r="G62" s="16"/>
      <c r="H62" s="16"/>
      <c r="I62" s="16"/>
      <c r="J62" s="23">
        <f>SUM(E62:I62)</f>
        <v>0</v>
      </c>
      <c r="K62" s="150"/>
    </row>
    <row r="63" spans="1:11" s="3" customFormat="1" ht="12.75">
      <c r="A63" s="25"/>
      <c r="B63" s="39" t="s">
        <v>40</v>
      </c>
      <c r="C63" s="124"/>
      <c r="D63" s="16"/>
      <c r="E63" s="16"/>
      <c r="F63" s="16"/>
      <c r="G63" s="16"/>
      <c r="H63" s="16"/>
      <c r="I63" s="16"/>
      <c r="J63" s="23">
        <f>SUM(E63:I63)</f>
        <v>0</v>
      </c>
      <c r="K63" s="150"/>
    </row>
    <row r="64" spans="1:11" s="3" customFormat="1" ht="12.75">
      <c r="A64" s="25"/>
      <c r="B64" s="39" t="s">
        <v>41</v>
      </c>
      <c r="C64" s="124"/>
      <c r="D64" s="16"/>
      <c r="E64" s="16"/>
      <c r="F64" s="16"/>
      <c r="G64" s="16"/>
      <c r="H64" s="16"/>
      <c r="I64" s="16"/>
      <c r="J64" s="23">
        <f>SUM(E64:I64)</f>
        <v>0</v>
      </c>
      <c r="K64" s="150"/>
    </row>
    <row r="65" spans="1:11" s="3" customFormat="1" ht="12.75">
      <c r="A65" s="25"/>
      <c r="B65" s="39" t="s">
        <v>42</v>
      </c>
      <c r="C65" s="121" t="s">
        <v>138</v>
      </c>
      <c r="D65" s="17">
        <f aca="true" t="shared" si="9" ref="D65:J65">SUM(D62:D64)</f>
        <v>0</v>
      </c>
      <c r="E65" s="17">
        <f t="shared" si="9"/>
        <v>0</v>
      </c>
      <c r="F65" s="17">
        <f t="shared" si="9"/>
        <v>0</v>
      </c>
      <c r="G65" s="17">
        <f t="shared" si="9"/>
        <v>0</v>
      </c>
      <c r="H65" s="17">
        <f t="shared" si="9"/>
        <v>0</v>
      </c>
      <c r="I65" s="17">
        <f t="shared" si="9"/>
        <v>0</v>
      </c>
      <c r="J65" s="23">
        <f t="shared" si="9"/>
        <v>0</v>
      </c>
      <c r="K65" s="150"/>
    </row>
    <row r="66" spans="1:11" s="3" customFormat="1" ht="12.75">
      <c r="A66" s="35"/>
      <c r="B66" s="36">
        <v>2999</v>
      </c>
      <c r="C66" s="126" t="s">
        <v>29</v>
      </c>
      <c r="D66" s="17">
        <f aca="true" t="shared" si="10" ref="D66:J66">+D45+D60+D65</f>
        <v>0</v>
      </c>
      <c r="E66" s="17">
        <f t="shared" si="10"/>
        <v>129700</v>
      </c>
      <c r="F66" s="17">
        <f t="shared" si="10"/>
        <v>0</v>
      </c>
      <c r="G66" s="17">
        <f t="shared" si="10"/>
        <v>21000</v>
      </c>
      <c r="H66" s="17">
        <f t="shared" si="10"/>
        <v>59600</v>
      </c>
      <c r="I66" s="17">
        <f t="shared" si="10"/>
        <v>13000</v>
      </c>
      <c r="J66" s="23">
        <f t="shared" si="10"/>
        <v>223300</v>
      </c>
      <c r="K66" s="150"/>
    </row>
    <row r="67" spans="1:11" s="3" customFormat="1" ht="12.75">
      <c r="A67" s="84">
        <v>30</v>
      </c>
      <c r="B67" s="85" t="s">
        <v>43</v>
      </c>
      <c r="C67" s="129"/>
      <c r="D67" s="77"/>
      <c r="E67" s="77"/>
      <c r="F67" s="77"/>
      <c r="G67" s="77"/>
      <c r="H67" s="77"/>
      <c r="I67" s="77"/>
      <c r="J67" s="78"/>
      <c r="K67" s="150"/>
    </row>
    <row r="68" spans="1:11" s="3" customFormat="1" ht="12.75">
      <c r="A68" s="22"/>
      <c r="B68" s="76" t="s">
        <v>44</v>
      </c>
      <c r="C68" s="118" t="s">
        <v>119</v>
      </c>
      <c r="D68" s="77"/>
      <c r="E68" s="77"/>
      <c r="F68" s="77"/>
      <c r="G68" s="77"/>
      <c r="H68" s="77"/>
      <c r="I68" s="77"/>
      <c r="J68" s="78"/>
      <c r="K68" s="150"/>
    </row>
    <row r="69" spans="1:11" s="3" customFormat="1" ht="12.75">
      <c r="A69" s="54"/>
      <c r="B69" s="55"/>
      <c r="C69" s="119" t="s">
        <v>120</v>
      </c>
      <c r="D69" s="56"/>
      <c r="E69" s="56"/>
      <c r="F69" s="56"/>
      <c r="G69" s="56"/>
      <c r="H69" s="56"/>
      <c r="I69" s="56"/>
      <c r="J69" s="57"/>
      <c r="K69" s="150"/>
    </row>
    <row r="70" spans="1:11" s="3" customFormat="1" ht="12.75">
      <c r="A70" s="25"/>
      <c r="B70" s="26" t="s">
        <v>45</v>
      </c>
      <c r="C70" s="130"/>
      <c r="D70" s="16"/>
      <c r="E70" s="16"/>
      <c r="F70" s="16"/>
      <c r="G70" s="16"/>
      <c r="H70" s="16"/>
      <c r="I70" s="16"/>
      <c r="J70" s="23">
        <f>SUM(E70:I70)</f>
        <v>0</v>
      </c>
      <c r="K70" s="150"/>
    </row>
    <row r="71" spans="1:11" s="3" customFormat="1" ht="12.75">
      <c r="A71" s="25"/>
      <c r="B71" s="26" t="s">
        <v>46</v>
      </c>
      <c r="C71" s="130"/>
      <c r="D71" s="16"/>
      <c r="E71" s="16"/>
      <c r="F71" s="16"/>
      <c r="G71" s="16"/>
      <c r="H71" s="16"/>
      <c r="I71" s="16"/>
      <c r="J71" s="23">
        <f>SUM(E71:I71)</f>
        <v>0</v>
      </c>
      <c r="K71" s="150"/>
    </row>
    <row r="72" spans="1:11" s="3" customFormat="1" ht="12.75">
      <c r="A72" s="25"/>
      <c r="B72" s="26" t="s">
        <v>134</v>
      </c>
      <c r="C72" s="130"/>
      <c r="D72" s="16"/>
      <c r="E72" s="16"/>
      <c r="F72" s="16"/>
      <c r="G72" s="16"/>
      <c r="H72" s="16"/>
      <c r="I72" s="16"/>
      <c r="J72" s="23">
        <f>SUM(E72:I72)</f>
        <v>0</v>
      </c>
      <c r="K72" s="150"/>
    </row>
    <row r="73" spans="1:11" s="3" customFormat="1" ht="12.75">
      <c r="A73" s="25"/>
      <c r="B73" s="39" t="s">
        <v>47</v>
      </c>
      <c r="C73" s="121" t="s">
        <v>138</v>
      </c>
      <c r="D73" s="17">
        <f aca="true" t="shared" si="11" ref="D73:J73">SUM(D70:D72)</f>
        <v>0</v>
      </c>
      <c r="E73" s="17">
        <f t="shared" si="11"/>
        <v>0</v>
      </c>
      <c r="F73" s="17">
        <f t="shared" si="11"/>
        <v>0</v>
      </c>
      <c r="G73" s="17">
        <f t="shared" si="11"/>
        <v>0</v>
      </c>
      <c r="H73" s="17">
        <f t="shared" si="11"/>
        <v>0</v>
      </c>
      <c r="I73" s="17">
        <f t="shared" si="11"/>
        <v>0</v>
      </c>
      <c r="J73" s="23">
        <f t="shared" si="11"/>
        <v>0</v>
      </c>
      <c r="K73" s="150"/>
    </row>
    <row r="74" spans="1:11" s="3" customFormat="1" ht="12.75">
      <c r="A74" s="59"/>
      <c r="B74" s="66" t="s">
        <v>48</v>
      </c>
      <c r="C74" s="123" t="s">
        <v>105</v>
      </c>
      <c r="D74" s="61"/>
      <c r="E74" s="61"/>
      <c r="F74" s="61"/>
      <c r="G74" s="61"/>
      <c r="H74" s="61"/>
      <c r="I74" s="61"/>
      <c r="J74" s="62"/>
      <c r="K74" s="150"/>
    </row>
    <row r="75" spans="1:11" s="3" customFormat="1" ht="12.75">
      <c r="A75" s="54"/>
      <c r="B75" s="67"/>
      <c r="C75" s="128" t="s">
        <v>106</v>
      </c>
      <c r="D75" s="56"/>
      <c r="E75" s="56"/>
      <c r="F75" s="56"/>
      <c r="G75" s="56"/>
      <c r="H75" s="56"/>
      <c r="I75" s="56"/>
      <c r="J75" s="57"/>
      <c r="K75" s="150"/>
    </row>
    <row r="76" spans="1:11" s="3" customFormat="1" ht="12.75">
      <c r="A76" s="25"/>
      <c r="B76" s="39" t="s">
        <v>49</v>
      </c>
      <c r="C76" s="121" t="s">
        <v>310</v>
      </c>
      <c r="D76" s="15"/>
      <c r="E76" s="15">
        <v>6000</v>
      </c>
      <c r="F76" s="15"/>
      <c r="G76" s="15">
        <v>1500</v>
      </c>
      <c r="H76" s="15">
        <v>1000</v>
      </c>
      <c r="I76" s="15"/>
      <c r="J76" s="23">
        <f>SUM(E76:I76)</f>
        <v>8500</v>
      </c>
      <c r="K76" s="150">
        <f>E76/2</f>
        <v>3000</v>
      </c>
    </row>
    <row r="77" spans="1:11" s="3" customFormat="1" ht="12.75">
      <c r="A77" s="25"/>
      <c r="B77" s="39" t="s">
        <v>92</v>
      </c>
      <c r="C77" s="121" t="s">
        <v>311</v>
      </c>
      <c r="D77" s="15"/>
      <c r="E77" s="15">
        <v>8000</v>
      </c>
      <c r="F77" s="15"/>
      <c r="G77" s="15">
        <v>4000</v>
      </c>
      <c r="H77" s="15">
        <v>4000</v>
      </c>
      <c r="I77" s="15"/>
      <c r="J77" s="23">
        <f>SUM(E77:I77)</f>
        <v>16000</v>
      </c>
      <c r="K77" s="150">
        <f>E77/2</f>
        <v>4000</v>
      </c>
    </row>
    <row r="78" spans="1:11" s="3" customFormat="1" ht="12.75">
      <c r="A78" s="25"/>
      <c r="B78" s="39" t="s">
        <v>93</v>
      </c>
      <c r="C78" s="121" t="s">
        <v>274</v>
      </c>
      <c r="D78" s="150"/>
      <c r="E78" s="150">
        <v>5000</v>
      </c>
      <c r="F78" s="150"/>
      <c r="G78" s="150"/>
      <c r="H78" s="150">
        <v>2000</v>
      </c>
      <c r="I78" s="150"/>
      <c r="J78" s="23">
        <f>SUM(E78:I78)</f>
        <v>7000</v>
      </c>
      <c r="K78" s="3">
        <f>E78</f>
        <v>5000</v>
      </c>
    </row>
    <row r="79" spans="1:11" s="3" customFormat="1" ht="12.75">
      <c r="A79" s="25"/>
      <c r="B79" s="39" t="s">
        <v>203</v>
      </c>
      <c r="C79" s="121" t="s">
        <v>312</v>
      </c>
      <c r="D79" s="15"/>
      <c r="E79" s="15">
        <v>6000</v>
      </c>
      <c r="F79" s="15"/>
      <c r="G79" s="15">
        <v>3000</v>
      </c>
      <c r="H79" s="15">
        <v>5000</v>
      </c>
      <c r="I79" s="15"/>
      <c r="J79" s="23">
        <f>SUM(E79:I79)</f>
        <v>14000</v>
      </c>
      <c r="K79" s="150">
        <f>E79/2</f>
        <v>3000</v>
      </c>
    </row>
    <row r="80" spans="1:11" s="3" customFormat="1" ht="12.75">
      <c r="A80" s="25"/>
      <c r="B80" s="39" t="s">
        <v>50</v>
      </c>
      <c r="C80" s="121" t="s">
        <v>138</v>
      </c>
      <c r="D80" s="17">
        <f aca="true" t="shared" si="12" ref="D80:J80">SUM(D76:D79)</f>
        <v>0</v>
      </c>
      <c r="E80" s="17">
        <f t="shared" si="12"/>
        <v>25000</v>
      </c>
      <c r="F80" s="17">
        <f t="shared" si="12"/>
        <v>0</v>
      </c>
      <c r="G80" s="17">
        <f t="shared" si="12"/>
        <v>8500</v>
      </c>
      <c r="H80" s="17">
        <f t="shared" si="12"/>
        <v>12000</v>
      </c>
      <c r="I80" s="17">
        <f t="shared" si="12"/>
        <v>0</v>
      </c>
      <c r="J80" s="23">
        <f t="shared" si="12"/>
        <v>45500</v>
      </c>
      <c r="K80" s="150"/>
    </row>
    <row r="81" spans="1:11" s="3" customFormat="1" ht="12.75">
      <c r="A81" s="25"/>
      <c r="B81" s="40" t="s">
        <v>51</v>
      </c>
      <c r="C81" s="125" t="s">
        <v>94</v>
      </c>
      <c r="D81" s="15"/>
      <c r="E81" s="15"/>
      <c r="F81" s="15"/>
      <c r="G81" s="15"/>
      <c r="H81" s="15"/>
      <c r="I81" s="15"/>
      <c r="J81" s="34"/>
      <c r="K81" s="150"/>
    </row>
    <row r="82" spans="1:11" s="172" customFormat="1" ht="12.75">
      <c r="A82" s="168"/>
      <c r="B82" s="169" t="s">
        <v>52</v>
      </c>
      <c r="C82" s="174" t="s">
        <v>263</v>
      </c>
      <c r="D82" s="176"/>
      <c r="E82" s="176">
        <v>5000</v>
      </c>
      <c r="F82" s="176"/>
      <c r="G82" s="176">
        <v>16000</v>
      </c>
      <c r="H82" s="176">
        <v>6000</v>
      </c>
      <c r="I82" s="170">
        <v>7000</v>
      </c>
      <c r="J82" s="171">
        <f>SUM(E82:I82)</f>
        <v>34000</v>
      </c>
      <c r="K82" s="175">
        <f>2*E82/3</f>
        <v>3333.3333333333335</v>
      </c>
    </row>
    <row r="83" spans="1:11" s="3" customFormat="1" ht="12.75">
      <c r="A83" s="25"/>
      <c r="B83" s="39" t="s">
        <v>53</v>
      </c>
      <c r="C83" s="121" t="s">
        <v>264</v>
      </c>
      <c r="D83" s="147"/>
      <c r="E83" s="147">
        <v>8000</v>
      </c>
      <c r="F83" s="147"/>
      <c r="G83" s="147"/>
      <c r="H83" s="147">
        <v>4000</v>
      </c>
      <c r="I83" s="16"/>
      <c r="J83" s="23">
        <f>SUM(E83:I83)</f>
        <v>12000</v>
      </c>
      <c r="K83" s="150">
        <f>2*E83/3</f>
        <v>5333.333333333333</v>
      </c>
    </row>
    <row r="84" spans="1:11" s="3" customFormat="1" ht="12.75">
      <c r="A84" s="25"/>
      <c r="B84" s="39" t="s">
        <v>54</v>
      </c>
      <c r="C84" s="121" t="s">
        <v>313</v>
      </c>
      <c r="D84" s="16"/>
      <c r="E84" s="16">
        <v>2000</v>
      </c>
      <c r="F84" s="16"/>
      <c r="G84" s="16">
        <v>3000</v>
      </c>
      <c r="H84" s="16"/>
      <c r="I84" s="16">
        <v>2000</v>
      </c>
      <c r="J84" s="23">
        <f>SUM(E84:I84)</f>
        <v>7000</v>
      </c>
      <c r="K84" s="150">
        <f>E84</f>
        <v>2000</v>
      </c>
    </row>
    <row r="85" spans="1:11" s="3" customFormat="1" ht="12.75">
      <c r="A85" s="25"/>
      <c r="B85" s="39" t="s">
        <v>55</v>
      </c>
      <c r="C85" s="121" t="s">
        <v>138</v>
      </c>
      <c r="D85" s="17">
        <f aca="true" t="shared" si="13" ref="D85:J85">SUM(D82:D84)</f>
        <v>0</v>
      </c>
      <c r="E85" s="17">
        <f t="shared" si="13"/>
        <v>15000</v>
      </c>
      <c r="F85" s="17">
        <f t="shared" si="13"/>
        <v>0</v>
      </c>
      <c r="G85" s="17">
        <f t="shared" si="13"/>
        <v>19000</v>
      </c>
      <c r="H85" s="17">
        <f t="shared" si="13"/>
        <v>10000</v>
      </c>
      <c r="I85" s="17">
        <f t="shared" si="13"/>
        <v>9000</v>
      </c>
      <c r="J85" s="23">
        <f t="shared" si="13"/>
        <v>53000</v>
      </c>
      <c r="K85" s="150"/>
    </row>
    <row r="86" spans="1:11" s="3" customFormat="1" ht="12.75">
      <c r="A86" s="35"/>
      <c r="B86" s="36">
        <v>3999</v>
      </c>
      <c r="C86" s="126" t="s">
        <v>29</v>
      </c>
      <c r="D86" s="17">
        <f aca="true" t="shared" si="14" ref="D86:J86">+D73+D80+D85</f>
        <v>0</v>
      </c>
      <c r="E86" s="17">
        <f t="shared" si="14"/>
        <v>40000</v>
      </c>
      <c r="F86" s="17">
        <f t="shared" si="14"/>
        <v>0</v>
      </c>
      <c r="G86" s="17">
        <f t="shared" si="14"/>
        <v>27500</v>
      </c>
      <c r="H86" s="17">
        <f t="shared" si="14"/>
        <v>22000</v>
      </c>
      <c r="I86" s="17">
        <f t="shared" si="14"/>
        <v>9000</v>
      </c>
      <c r="J86" s="23">
        <f t="shared" si="14"/>
        <v>98500</v>
      </c>
      <c r="K86" s="150"/>
    </row>
    <row r="87" spans="1:11" s="3" customFormat="1" ht="12.75">
      <c r="A87" s="80">
        <v>40</v>
      </c>
      <c r="B87" s="86" t="s">
        <v>127</v>
      </c>
      <c r="C87" s="127"/>
      <c r="D87" s="61"/>
      <c r="E87" s="61"/>
      <c r="F87" s="61"/>
      <c r="G87" s="61"/>
      <c r="H87" s="61"/>
      <c r="I87" s="61"/>
      <c r="J87" s="62"/>
      <c r="K87" s="150"/>
    </row>
    <row r="88" spans="1:11" s="3" customFormat="1" ht="12.75">
      <c r="A88" s="22"/>
      <c r="B88" s="76" t="s">
        <v>56</v>
      </c>
      <c r="C88" s="118" t="s">
        <v>103</v>
      </c>
      <c r="D88" s="81"/>
      <c r="E88" s="81"/>
      <c r="F88" s="81"/>
      <c r="G88" s="81"/>
      <c r="H88" s="81"/>
      <c r="I88" s="81"/>
      <c r="J88" s="82"/>
      <c r="K88" s="150"/>
    </row>
    <row r="89" spans="1:11" s="3" customFormat="1" ht="12.75">
      <c r="A89" s="54"/>
      <c r="B89" s="55"/>
      <c r="C89" s="119" t="s">
        <v>121</v>
      </c>
      <c r="D89" s="70"/>
      <c r="E89" s="70"/>
      <c r="F89" s="70"/>
      <c r="G89" s="70"/>
      <c r="H89" s="70"/>
      <c r="I89" s="70"/>
      <c r="J89" s="65"/>
      <c r="K89" s="150"/>
    </row>
    <row r="90" spans="1:11" s="3" customFormat="1" ht="12.75">
      <c r="A90" s="25"/>
      <c r="B90" s="26" t="s">
        <v>57</v>
      </c>
      <c r="C90" s="130" t="s">
        <v>265</v>
      </c>
      <c r="D90" s="150"/>
      <c r="E90" s="147">
        <v>3000</v>
      </c>
      <c r="F90" s="150"/>
      <c r="G90" s="150"/>
      <c r="H90" s="147">
        <v>6000</v>
      </c>
      <c r="I90" s="15"/>
      <c r="J90" s="23">
        <f>SUM(E90:I90)</f>
        <v>9000</v>
      </c>
      <c r="K90" s="150">
        <f>2*E90/3</f>
        <v>2000</v>
      </c>
    </row>
    <row r="91" spans="1:11" s="3" customFormat="1" ht="12.75">
      <c r="A91" s="25"/>
      <c r="B91" s="26" t="s">
        <v>59</v>
      </c>
      <c r="C91" s="130" t="s">
        <v>266</v>
      </c>
      <c r="D91" s="150"/>
      <c r="E91" s="147">
        <v>10000</v>
      </c>
      <c r="F91" s="150"/>
      <c r="G91" s="150"/>
      <c r="H91" s="147">
        <v>10000</v>
      </c>
      <c r="I91" s="15"/>
      <c r="J91" s="23">
        <f>SUM(E91:I91)</f>
        <v>20000</v>
      </c>
      <c r="K91" s="150">
        <f>2*E91/3</f>
        <v>6666.666666666667</v>
      </c>
    </row>
    <row r="92" spans="1:11" s="3" customFormat="1" ht="12.75">
      <c r="A92" s="25"/>
      <c r="B92" s="39" t="s">
        <v>63</v>
      </c>
      <c r="C92" s="121" t="s">
        <v>4</v>
      </c>
      <c r="D92" s="17">
        <f aca="true" t="shared" si="15" ref="D92:J92">SUM(D90:D91)</f>
        <v>0</v>
      </c>
      <c r="E92" s="17">
        <f t="shared" si="15"/>
        <v>13000</v>
      </c>
      <c r="F92" s="17">
        <f t="shared" si="15"/>
        <v>0</v>
      </c>
      <c r="G92" s="17">
        <f t="shared" si="15"/>
        <v>0</v>
      </c>
      <c r="H92" s="17">
        <f t="shared" si="15"/>
        <v>16000</v>
      </c>
      <c r="I92" s="17">
        <f t="shared" si="15"/>
        <v>0</v>
      </c>
      <c r="J92" s="23">
        <f t="shared" si="15"/>
        <v>29000</v>
      </c>
      <c r="K92" s="150"/>
    </row>
    <row r="93" spans="1:11" s="3" customFormat="1" ht="12.75">
      <c r="A93" s="59"/>
      <c r="B93" s="72">
        <v>4200</v>
      </c>
      <c r="C93" s="123" t="s">
        <v>90</v>
      </c>
      <c r="D93" s="68"/>
      <c r="E93" s="68"/>
      <c r="F93" s="68"/>
      <c r="G93" s="68"/>
      <c r="H93" s="68"/>
      <c r="I93" s="68"/>
      <c r="J93" s="64"/>
      <c r="K93" s="150"/>
    </row>
    <row r="94" spans="1:11" s="3" customFormat="1" ht="12.75">
      <c r="A94" s="54"/>
      <c r="B94" s="73"/>
      <c r="C94" s="128" t="s">
        <v>96</v>
      </c>
      <c r="D94" s="70"/>
      <c r="E94" s="70"/>
      <c r="F94" s="70"/>
      <c r="G94" s="70"/>
      <c r="H94" s="70"/>
      <c r="I94" s="70"/>
      <c r="J94" s="65"/>
      <c r="K94" s="150"/>
    </row>
    <row r="95" spans="1:11" s="3" customFormat="1" ht="12.75">
      <c r="A95" s="25"/>
      <c r="B95" s="39" t="s">
        <v>64</v>
      </c>
      <c r="C95" s="130" t="s">
        <v>314</v>
      </c>
      <c r="D95" s="15"/>
      <c r="E95" s="15">
        <v>8000</v>
      </c>
      <c r="F95" s="15"/>
      <c r="G95" s="15"/>
      <c r="H95" s="15"/>
      <c r="I95" s="15"/>
      <c r="J95" s="23">
        <f>SUM(E95:I95)</f>
        <v>8000</v>
      </c>
      <c r="K95" s="150">
        <f>2*E95/3</f>
        <v>5333.333333333333</v>
      </c>
    </row>
    <row r="96" spans="1:11" s="3" customFormat="1" ht="12.75">
      <c r="A96" s="25"/>
      <c r="B96" s="39" t="s">
        <v>65</v>
      </c>
      <c r="C96" s="130" t="s">
        <v>315</v>
      </c>
      <c r="D96" s="15"/>
      <c r="E96" s="15">
        <v>6000</v>
      </c>
      <c r="F96" s="15"/>
      <c r="G96" s="15"/>
      <c r="H96" s="15"/>
      <c r="I96" s="15"/>
      <c r="J96" s="23">
        <f>SUM(E96:I96)</f>
        <v>6000</v>
      </c>
      <c r="K96" s="150">
        <f>E96</f>
        <v>6000</v>
      </c>
    </row>
    <row r="97" spans="1:11" s="3" customFormat="1" ht="12.75">
      <c r="A97" s="25"/>
      <c r="B97" s="39" t="s">
        <v>135</v>
      </c>
      <c r="C97" s="130" t="s">
        <v>316</v>
      </c>
      <c r="D97" s="15"/>
      <c r="E97" s="15">
        <v>3000</v>
      </c>
      <c r="F97" s="15"/>
      <c r="G97" s="15">
        <v>7000</v>
      </c>
      <c r="H97" s="15"/>
      <c r="I97" s="15">
        <v>5000</v>
      </c>
      <c r="J97" s="23">
        <f>SUM(E97:I97)</f>
        <v>15000</v>
      </c>
      <c r="K97" s="150">
        <f>E97</f>
        <v>3000</v>
      </c>
    </row>
    <row r="98" spans="1:11" s="3" customFormat="1" ht="12.75">
      <c r="A98" s="25"/>
      <c r="B98" s="39" t="s">
        <v>66</v>
      </c>
      <c r="C98" s="121" t="s">
        <v>138</v>
      </c>
      <c r="D98" s="17">
        <f aca="true" t="shared" si="16" ref="D98:J98">SUM(D95:D97)</f>
        <v>0</v>
      </c>
      <c r="E98" s="17">
        <f t="shared" si="16"/>
        <v>17000</v>
      </c>
      <c r="F98" s="17">
        <f t="shared" si="16"/>
        <v>0</v>
      </c>
      <c r="G98" s="17">
        <f t="shared" si="16"/>
        <v>7000</v>
      </c>
      <c r="H98" s="17">
        <f t="shared" si="16"/>
        <v>0</v>
      </c>
      <c r="I98" s="17">
        <f t="shared" si="16"/>
        <v>5000</v>
      </c>
      <c r="J98" s="23">
        <f t="shared" si="16"/>
        <v>29000</v>
      </c>
      <c r="K98" s="150"/>
    </row>
    <row r="99" spans="1:11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4"/>
      <c r="K99" s="150"/>
    </row>
    <row r="100" spans="1:11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65"/>
      <c r="K100" s="150"/>
    </row>
    <row r="101" spans="1:11" s="3" customFormat="1" ht="12.75">
      <c r="A101" s="25"/>
      <c r="B101" s="39" t="s">
        <v>67</v>
      </c>
      <c r="C101" s="121" t="str">
        <f>'detailed GEF budget BIS'!C92</f>
        <v>Office Maintenance+Electricity</v>
      </c>
      <c r="D101" s="15"/>
      <c r="E101" s="15"/>
      <c r="F101" s="15"/>
      <c r="G101" s="15"/>
      <c r="H101" s="15"/>
      <c r="I101" s="15"/>
      <c r="J101" s="23">
        <f>SUM(E101:I101)</f>
        <v>0</v>
      </c>
      <c r="K101" s="150"/>
    </row>
    <row r="102" spans="1:11" s="3" customFormat="1" ht="12.75">
      <c r="A102" s="25"/>
      <c r="B102" s="39" t="s">
        <v>68</v>
      </c>
      <c r="C102" s="121" t="s">
        <v>138</v>
      </c>
      <c r="D102" s="17">
        <f aca="true" t="shared" si="17" ref="D102:J102">SUM(D101:D101)</f>
        <v>0</v>
      </c>
      <c r="E102" s="17">
        <f t="shared" si="17"/>
        <v>0</v>
      </c>
      <c r="F102" s="17">
        <f t="shared" si="17"/>
        <v>0</v>
      </c>
      <c r="G102" s="17">
        <f t="shared" si="17"/>
        <v>0</v>
      </c>
      <c r="H102" s="17">
        <f t="shared" si="17"/>
        <v>0</v>
      </c>
      <c r="I102" s="17">
        <f t="shared" si="17"/>
        <v>0</v>
      </c>
      <c r="J102" s="23">
        <f t="shared" si="17"/>
        <v>0</v>
      </c>
      <c r="K102" s="150"/>
    </row>
    <row r="103" spans="1:11" s="3" customFormat="1" ht="12.75">
      <c r="A103" s="35"/>
      <c r="B103" s="36">
        <v>4999</v>
      </c>
      <c r="C103" s="126" t="s">
        <v>29</v>
      </c>
      <c r="D103" s="17">
        <f aca="true" t="shared" si="18" ref="D103:J103">+D92+D98+D102</f>
        <v>0</v>
      </c>
      <c r="E103" s="17">
        <f t="shared" si="18"/>
        <v>30000</v>
      </c>
      <c r="F103" s="17">
        <f t="shared" si="18"/>
        <v>0</v>
      </c>
      <c r="G103" s="17">
        <f t="shared" si="18"/>
        <v>7000</v>
      </c>
      <c r="H103" s="17">
        <f t="shared" si="18"/>
        <v>16000</v>
      </c>
      <c r="I103" s="17">
        <f t="shared" si="18"/>
        <v>5000</v>
      </c>
      <c r="J103" s="23">
        <f t="shared" si="18"/>
        <v>58000</v>
      </c>
      <c r="K103" s="150"/>
    </row>
    <row r="104" spans="1:11" s="3" customFormat="1" ht="12.75">
      <c r="A104" s="80">
        <v>50</v>
      </c>
      <c r="B104" s="74" t="s">
        <v>69</v>
      </c>
      <c r="C104" s="127"/>
      <c r="D104" s="61"/>
      <c r="E104" s="61"/>
      <c r="F104" s="61"/>
      <c r="G104" s="61"/>
      <c r="H104" s="61"/>
      <c r="I104" s="61"/>
      <c r="J104" s="62"/>
      <c r="K104" s="150"/>
    </row>
    <row r="105" spans="1:11" s="3" customFormat="1" ht="12.75">
      <c r="A105" s="22"/>
      <c r="B105" s="85" t="s">
        <v>70</v>
      </c>
      <c r="C105" s="118" t="s">
        <v>107</v>
      </c>
      <c r="D105" s="77"/>
      <c r="E105" s="77"/>
      <c r="F105" s="77"/>
      <c r="G105" s="77"/>
      <c r="H105" s="77"/>
      <c r="I105" s="77"/>
      <c r="J105" s="78"/>
      <c r="K105" s="150"/>
    </row>
    <row r="106" spans="1:11" s="3" customFormat="1" ht="12.75">
      <c r="A106" s="54"/>
      <c r="B106" s="75"/>
      <c r="C106" s="119" t="s">
        <v>97</v>
      </c>
      <c r="D106" s="56"/>
      <c r="E106" s="56"/>
      <c r="F106" s="56"/>
      <c r="G106" s="56"/>
      <c r="H106" s="56"/>
      <c r="I106" s="56"/>
      <c r="J106" s="57"/>
      <c r="K106" s="150"/>
    </row>
    <row r="107" spans="1:11" s="3" customFormat="1" ht="12.75">
      <c r="A107" s="25"/>
      <c r="B107" s="26" t="s">
        <v>71</v>
      </c>
      <c r="C107" s="130" t="s">
        <v>99</v>
      </c>
      <c r="D107" s="16"/>
      <c r="E107" s="16"/>
      <c r="F107" s="16"/>
      <c r="G107" s="16"/>
      <c r="H107" s="16"/>
      <c r="I107" s="16"/>
      <c r="J107" s="23">
        <f>SUM(E107:I107)</f>
        <v>0</v>
      </c>
      <c r="K107" s="150"/>
    </row>
    <row r="108" spans="1:11" s="3" customFormat="1" ht="12.75">
      <c r="A108" s="25"/>
      <c r="B108" s="26" t="s">
        <v>72</v>
      </c>
      <c r="C108" s="130" t="s">
        <v>128</v>
      </c>
      <c r="D108" s="16"/>
      <c r="E108" s="15"/>
      <c r="F108" s="15"/>
      <c r="G108" s="15"/>
      <c r="H108" s="15"/>
      <c r="I108" s="15"/>
      <c r="J108" s="23">
        <f>SUM(E108:I108)</f>
        <v>0</v>
      </c>
      <c r="K108" s="150"/>
    </row>
    <row r="109" spans="1:11" s="3" customFormat="1" ht="12.75">
      <c r="A109" s="25"/>
      <c r="B109" s="26" t="s">
        <v>73</v>
      </c>
      <c r="C109" s="130" t="s">
        <v>100</v>
      </c>
      <c r="D109" s="16"/>
      <c r="E109" s="15">
        <v>5000</v>
      </c>
      <c r="F109" s="15"/>
      <c r="G109" s="15"/>
      <c r="H109" s="15"/>
      <c r="I109" s="15"/>
      <c r="J109" s="23">
        <f>SUM(E109:I109)</f>
        <v>5000</v>
      </c>
      <c r="K109" s="150"/>
    </row>
    <row r="110" spans="1:11" s="3" customFormat="1" ht="12.75">
      <c r="A110" s="25"/>
      <c r="B110" s="26" t="s">
        <v>74</v>
      </c>
      <c r="C110" s="130" t="s">
        <v>101</v>
      </c>
      <c r="D110" s="16"/>
      <c r="E110" s="15"/>
      <c r="F110" s="15"/>
      <c r="G110" s="15"/>
      <c r="H110" s="15"/>
      <c r="I110" s="15"/>
      <c r="J110" s="23">
        <f>SUM(E110:I110)</f>
        <v>0</v>
      </c>
      <c r="K110" s="150"/>
    </row>
    <row r="111" spans="1:11" s="3" customFormat="1" ht="12.75">
      <c r="A111" s="25"/>
      <c r="B111" s="26" t="s">
        <v>75</v>
      </c>
      <c r="C111" s="130" t="s">
        <v>102</v>
      </c>
      <c r="D111" s="16">
        <f>'detailed GEF budget BIS'!G102</f>
        <v>0</v>
      </c>
      <c r="E111" s="15"/>
      <c r="F111" s="15"/>
      <c r="G111" s="15"/>
      <c r="H111" s="15"/>
      <c r="I111" s="15"/>
      <c r="J111" s="23">
        <f>SUM(E111:I111)</f>
        <v>0</v>
      </c>
      <c r="K111" s="150"/>
    </row>
    <row r="112" spans="1:11" s="3" customFormat="1" ht="12.75">
      <c r="A112" s="25"/>
      <c r="B112" s="39" t="s">
        <v>76</v>
      </c>
      <c r="C112" s="121" t="s">
        <v>138</v>
      </c>
      <c r="D112" s="17">
        <f aca="true" t="shared" si="19" ref="D112:J112">SUM(D107:D111)</f>
        <v>0</v>
      </c>
      <c r="E112" s="17">
        <f t="shared" si="19"/>
        <v>5000</v>
      </c>
      <c r="F112" s="17">
        <f t="shared" si="19"/>
        <v>0</v>
      </c>
      <c r="G112" s="17">
        <f t="shared" si="19"/>
        <v>0</v>
      </c>
      <c r="H112" s="17">
        <f t="shared" si="19"/>
        <v>0</v>
      </c>
      <c r="I112" s="17">
        <f t="shared" si="19"/>
        <v>0</v>
      </c>
      <c r="J112" s="23">
        <f t="shared" si="19"/>
        <v>5000</v>
      </c>
      <c r="K112" s="150"/>
    </row>
    <row r="113" spans="1:11" s="3" customFormat="1" ht="12.75">
      <c r="A113" s="59"/>
      <c r="B113" s="72">
        <v>5200</v>
      </c>
      <c r="C113" s="123" t="s">
        <v>129</v>
      </c>
      <c r="D113" s="68"/>
      <c r="E113" s="68"/>
      <c r="F113" s="68"/>
      <c r="G113" s="68"/>
      <c r="H113" s="68"/>
      <c r="I113" s="68"/>
      <c r="J113" s="64"/>
      <c r="K113" s="150"/>
    </row>
    <row r="114" spans="1:11" s="3" customFormat="1" ht="12.75">
      <c r="A114" s="54"/>
      <c r="B114" s="73"/>
      <c r="C114" s="128" t="s">
        <v>98</v>
      </c>
      <c r="D114" s="70"/>
      <c r="E114" s="70"/>
      <c r="F114" s="70"/>
      <c r="G114" s="70"/>
      <c r="H114" s="70"/>
      <c r="I114" s="70"/>
      <c r="J114" s="65"/>
      <c r="K114" s="150"/>
    </row>
    <row r="115" spans="1:11" s="3" customFormat="1" ht="12.75">
      <c r="A115" s="25"/>
      <c r="B115" s="39" t="s">
        <v>77</v>
      </c>
      <c r="C115" s="121"/>
      <c r="D115" s="15"/>
      <c r="E115" s="15"/>
      <c r="F115" s="15"/>
      <c r="G115" s="15"/>
      <c r="H115" s="15"/>
      <c r="I115" s="15"/>
      <c r="J115" s="23">
        <f>SUM(E115:I115)</f>
        <v>0</v>
      </c>
      <c r="K115" s="150"/>
    </row>
    <row r="116" spans="1:11" s="3" customFormat="1" ht="12.75">
      <c r="A116" s="25"/>
      <c r="B116" s="39" t="s">
        <v>78</v>
      </c>
      <c r="C116" s="121"/>
      <c r="D116" s="15"/>
      <c r="E116" s="15"/>
      <c r="F116" s="15"/>
      <c r="G116" s="15"/>
      <c r="H116" s="15"/>
      <c r="I116" s="15"/>
      <c r="J116" s="23">
        <f>SUM(E116:I116)</f>
        <v>0</v>
      </c>
      <c r="K116" s="150"/>
    </row>
    <row r="117" spans="1:11" s="3" customFormat="1" ht="12.75">
      <c r="A117" s="25"/>
      <c r="B117" s="39" t="s">
        <v>79</v>
      </c>
      <c r="C117" s="121" t="s">
        <v>138</v>
      </c>
      <c r="D117" s="17">
        <f aca="true" t="shared" si="20" ref="D117:J117">SUM(D115:D116)</f>
        <v>0</v>
      </c>
      <c r="E117" s="17">
        <f t="shared" si="20"/>
        <v>0</v>
      </c>
      <c r="F117" s="17">
        <f t="shared" si="20"/>
        <v>0</v>
      </c>
      <c r="G117" s="17">
        <f t="shared" si="20"/>
        <v>0</v>
      </c>
      <c r="H117" s="17">
        <f t="shared" si="20"/>
        <v>0</v>
      </c>
      <c r="I117" s="17">
        <f t="shared" si="20"/>
        <v>0</v>
      </c>
      <c r="J117" s="23">
        <f t="shared" si="20"/>
        <v>0</v>
      </c>
      <c r="K117" s="150"/>
    </row>
    <row r="118" spans="1:11" s="3" customFormat="1" ht="12.75">
      <c r="A118" s="59"/>
      <c r="B118" s="72">
        <v>5300</v>
      </c>
      <c r="C118" s="123" t="s">
        <v>124</v>
      </c>
      <c r="D118" s="68"/>
      <c r="E118" s="68"/>
      <c r="F118" s="68"/>
      <c r="G118" s="68"/>
      <c r="H118" s="68"/>
      <c r="I118" s="68"/>
      <c r="J118" s="64"/>
      <c r="K118" s="150"/>
    </row>
    <row r="119" spans="1:11" s="3" customFormat="1" ht="12.75">
      <c r="A119" s="54"/>
      <c r="B119" s="73"/>
      <c r="C119" s="128" t="s">
        <v>130</v>
      </c>
      <c r="D119" s="70"/>
      <c r="E119" s="70"/>
      <c r="F119" s="70"/>
      <c r="G119" s="70"/>
      <c r="H119" s="70"/>
      <c r="I119" s="70"/>
      <c r="J119" s="65"/>
      <c r="K119" s="150"/>
    </row>
    <row r="120" spans="1:11" s="3" customFormat="1" ht="12.75">
      <c r="A120" s="25"/>
      <c r="B120" s="39" t="s">
        <v>80</v>
      </c>
      <c r="C120" s="121" t="str">
        <f>'detailed GEF budget BIS'!C111</f>
        <v>Communication</v>
      </c>
      <c r="D120" s="15"/>
      <c r="E120" s="150">
        <v>2000</v>
      </c>
      <c r="F120" s="15"/>
      <c r="G120" s="15"/>
      <c r="H120" s="15"/>
      <c r="I120" s="15"/>
      <c r="J120" s="23">
        <f>SUM(E120:I120)</f>
        <v>2000</v>
      </c>
      <c r="K120" s="150"/>
    </row>
    <row r="121" spans="1:11" s="3" customFormat="1" ht="12.75">
      <c r="A121" s="25"/>
      <c r="B121" s="39" t="s">
        <v>81</v>
      </c>
      <c r="C121" s="121" t="str">
        <f>'detailed GEF budget BIS'!C112</f>
        <v>Auditing</v>
      </c>
      <c r="D121" s="15"/>
      <c r="E121" s="15"/>
      <c r="F121" s="15"/>
      <c r="G121" s="15"/>
      <c r="H121" s="15"/>
      <c r="I121" s="15"/>
      <c r="J121" s="23">
        <f>SUM(E121:I121)</f>
        <v>0</v>
      </c>
      <c r="K121" s="150"/>
    </row>
    <row r="122" spans="1:11" s="3" customFormat="1" ht="12.75">
      <c r="A122" s="25"/>
      <c r="B122" s="39" t="s">
        <v>82</v>
      </c>
      <c r="C122" s="121" t="str">
        <f>'detailed GEF budget BIS'!C113</f>
        <v> Unspecified</v>
      </c>
      <c r="D122" s="15"/>
      <c r="E122" s="15"/>
      <c r="F122" s="15"/>
      <c r="G122" s="15"/>
      <c r="H122" s="15"/>
      <c r="I122" s="15"/>
      <c r="J122" s="23">
        <f>SUM(E122:I122)</f>
        <v>0</v>
      </c>
      <c r="K122" s="150"/>
    </row>
    <row r="123" spans="1:11" s="3" customFormat="1" ht="12.75">
      <c r="A123" s="25"/>
      <c r="B123" s="39" t="s">
        <v>83</v>
      </c>
      <c r="C123" s="121" t="s">
        <v>138</v>
      </c>
      <c r="D123" s="17">
        <f aca="true" t="shared" si="21" ref="D123:J123">SUM(D120:D122)</f>
        <v>0</v>
      </c>
      <c r="E123" s="17">
        <f t="shared" si="21"/>
        <v>2000</v>
      </c>
      <c r="F123" s="17">
        <f t="shared" si="21"/>
        <v>0</v>
      </c>
      <c r="G123" s="17">
        <f t="shared" si="21"/>
        <v>0</v>
      </c>
      <c r="H123" s="17">
        <f t="shared" si="21"/>
        <v>0</v>
      </c>
      <c r="I123" s="17">
        <f t="shared" si="21"/>
        <v>0</v>
      </c>
      <c r="J123" s="23">
        <f t="shared" si="21"/>
        <v>2000</v>
      </c>
      <c r="K123" s="150"/>
    </row>
    <row r="124" spans="1:11" s="3" customFormat="1" ht="12.75">
      <c r="A124" s="25"/>
      <c r="B124" s="41">
        <v>5400</v>
      </c>
      <c r="C124" s="125" t="s">
        <v>84</v>
      </c>
      <c r="D124" s="16"/>
      <c r="E124" s="16"/>
      <c r="F124" s="16"/>
      <c r="G124" s="16"/>
      <c r="H124" s="16"/>
      <c r="I124" s="16"/>
      <c r="J124" s="23"/>
      <c r="K124" s="150"/>
    </row>
    <row r="125" spans="1:11" s="3" customFormat="1" ht="12.75">
      <c r="A125" s="25"/>
      <c r="B125" s="39" t="s">
        <v>85</v>
      </c>
      <c r="C125" s="121"/>
      <c r="D125" s="15"/>
      <c r="E125" s="15"/>
      <c r="F125" s="15"/>
      <c r="G125" s="15"/>
      <c r="H125" s="15"/>
      <c r="I125" s="15"/>
      <c r="J125" s="23">
        <f>SUM(E125:I125)</f>
        <v>0</v>
      </c>
      <c r="K125" s="150"/>
    </row>
    <row r="126" spans="1:11" s="3" customFormat="1" ht="12.75">
      <c r="A126" s="25"/>
      <c r="B126" s="42">
        <v>5402</v>
      </c>
      <c r="C126" s="121"/>
      <c r="D126" s="16"/>
      <c r="E126" s="16"/>
      <c r="F126" s="16"/>
      <c r="G126" s="16"/>
      <c r="H126" s="16"/>
      <c r="I126" s="16"/>
      <c r="J126" s="23">
        <f>SUM(E126:I126)</f>
        <v>0</v>
      </c>
      <c r="K126" s="150"/>
    </row>
    <row r="127" spans="1:11" s="3" customFormat="1" ht="12.75">
      <c r="A127" s="25"/>
      <c r="B127" s="39" t="s">
        <v>86</v>
      </c>
      <c r="C127" s="121" t="s">
        <v>138</v>
      </c>
      <c r="D127" s="17">
        <f aca="true" t="shared" si="22" ref="D127:J127">SUM(D125:D126)</f>
        <v>0</v>
      </c>
      <c r="E127" s="17">
        <f t="shared" si="22"/>
        <v>0</v>
      </c>
      <c r="F127" s="17">
        <f t="shared" si="22"/>
        <v>0</v>
      </c>
      <c r="G127" s="17">
        <f t="shared" si="22"/>
        <v>0</v>
      </c>
      <c r="H127" s="17">
        <f t="shared" si="22"/>
        <v>0</v>
      </c>
      <c r="I127" s="17">
        <f t="shared" si="22"/>
        <v>0</v>
      </c>
      <c r="J127" s="23">
        <f t="shared" si="22"/>
        <v>0</v>
      </c>
      <c r="K127" s="150"/>
    </row>
    <row r="128" spans="1:11" s="3" customFormat="1" ht="12.75">
      <c r="A128" s="59"/>
      <c r="B128" s="72">
        <v>5500</v>
      </c>
      <c r="C128" s="123" t="s">
        <v>125</v>
      </c>
      <c r="D128" s="61"/>
      <c r="E128" s="61"/>
      <c r="F128" s="61"/>
      <c r="G128" s="61"/>
      <c r="H128" s="61"/>
      <c r="I128" s="61"/>
      <c r="J128" s="62"/>
      <c r="K128" s="150"/>
    </row>
    <row r="129" spans="1:11" s="3" customFormat="1" ht="12.75">
      <c r="A129" s="54"/>
      <c r="B129" s="73"/>
      <c r="C129" s="128" t="s">
        <v>132</v>
      </c>
      <c r="D129" s="56"/>
      <c r="E129" s="56"/>
      <c r="F129" s="56"/>
      <c r="G129" s="56"/>
      <c r="H129" s="56"/>
      <c r="I129" s="56"/>
      <c r="J129" s="57"/>
      <c r="K129" s="150"/>
    </row>
    <row r="130" spans="1:11" s="3" customFormat="1" ht="12.75">
      <c r="A130" s="25"/>
      <c r="B130" s="39" t="s">
        <v>87</v>
      </c>
      <c r="C130" s="124" t="s">
        <v>270</v>
      </c>
      <c r="D130" s="150"/>
      <c r="E130" s="150"/>
      <c r="F130" s="150">
        <v>15000</v>
      </c>
      <c r="G130" s="15"/>
      <c r="H130" s="15"/>
      <c r="I130" s="15"/>
      <c r="J130" s="23">
        <f>SUM(E130:I130)</f>
        <v>15000</v>
      </c>
      <c r="K130" s="150"/>
    </row>
    <row r="131" spans="1:11" s="3" customFormat="1" ht="12.75">
      <c r="A131" s="25"/>
      <c r="B131" s="39" t="s">
        <v>88</v>
      </c>
      <c r="C131" s="121"/>
      <c r="D131" s="15"/>
      <c r="E131" s="15"/>
      <c r="F131" s="15"/>
      <c r="G131" s="15"/>
      <c r="H131" s="15"/>
      <c r="I131" s="15"/>
      <c r="J131" s="23">
        <f>SUM(E131:I131)</f>
        <v>0</v>
      </c>
      <c r="K131" s="150"/>
    </row>
    <row r="132" spans="1:11" s="3" customFormat="1" ht="12.75">
      <c r="A132" s="25"/>
      <c r="B132" s="39" t="s">
        <v>89</v>
      </c>
      <c r="C132" s="121" t="s">
        <v>138</v>
      </c>
      <c r="D132" s="17">
        <f aca="true" t="shared" si="23" ref="D132:J132">SUM(D130:D131)</f>
        <v>0</v>
      </c>
      <c r="E132" s="17">
        <f t="shared" si="23"/>
        <v>0</v>
      </c>
      <c r="F132" s="17">
        <f t="shared" si="23"/>
        <v>15000</v>
      </c>
      <c r="G132" s="17">
        <f t="shared" si="23"/>
        <v>0</v>
      </c>
      <c r="H132" s="17">
        <f t="shared" si="23"/>
        <v>0</v>
      </c>
      <c r="I132" s="17">
        <f t="shared" si="23"/>
        <v>0</v>
      </c>
      <c r="J132" s="23">
        <f t="shared" si="23"/>
        <v>15000</v>
      </c>
      <c r="K132" s="150"/>
    </row>
    <row r="133" spans="1:11" s="3" customFormat="1" ht="12.75">
      <c r="A133" s="35"/>
      <c r="B133" s="36">
        <v>5999</v>
      </c>
      <c r="C133" s="126" t="s">
        <v>29</v>
      </c>
      <c r="D133" s="17">
        <f aca="true" t="shared" si="24" ref="D133:J133">+D112+D117+D123+D127+D132</f>
        <v>0</v>
      </c>
      <c r="E133" s="17">
        <f t="shared" si="24"/>
        <v>7000</v>
      </c>
      <c r="F133" s="17">
        <f t="shared" si="24"/>
        <v>15000</v>
      </c>
      <c r="G133" s="17">
        <f t="shared" si="24"/>
        <v>0</v>
      </c>
      <c r="H133" s="17">
        <f t="shared" si="24"/>
        <v>0</v>
      </c>
      <c r="I133" s="17">
        <f t="shared" si="24"/>
        <v>0</v>
      </c>
      <c r="J133" s="23">
        <f t="shared" si="24"/>
        <v>22000</v>
      </c>
      <c r="K133" s="150"/>
    </row>
    <row r="134" spans="1:11" s="3" customFormat="1" ht="12.75">
      <c r="A134" s="22"/>
      <c r="B134" s="19"/>
      <c r="C134" s="131"/>
      <c r="D134" s="15"/>
      <c r="E134" s="15"/>
      <c r="F134" s="15"/>
      <c r="G134" s="15"/>
      <c r="H134" s="15"/>
      <c r="I134" s="15"/>
      <c r="J134" s="48"/>
      <c r="K134" s="150"/>
    </row>
    <row r="135" spans="1:12" s="3" customFormat="1" ht="13.5" thickBot="1">
      <c r="A135" s="49"/>
      <c r="B135" s="50" t="s">
        <v>136</v>
      </c>
      <c r="C135" s="132"/>
      <c r="D135" s="24">
        <f aca="true" t="shared" si="25" ref="D135:J135">+D40+D66+D86+D103+D133</f>
        <v>0</v>
      </c>
      <c r="E135" s="24">
        <f t="shared" si="25"/>
        <v>249400</v>
      </c>
      <c r="F135" s="24">
        <f t="shared" si="25"/>
        <v>30681.239999999998</v>
      </c>
      <c r="G135" s="24">
        <f t="shared" si="25"/>
        <v>63500</v>
      </c>
      <c r="H135" s="24">
        <f t="shared" si="25"/>
        <v>128800</v>
      </c>
      <c r="I135" s="24">
        <f t="shared" si="25"/>
        <v>37000</v>
      </c>
      <c r="J135" s="38">
        <f t="shared" si="25"/>
        <v>499381.24</v>
      </c>
      <c r="K135" s="150">
        <f>SUM(K15:K134)</f>
        <v>183497.90666666668</v>
      </c>
      <c r="L135" s="3">
        <f>E135-K135</f>
        <v>65902.09333333332</v>
      </c>
    </row>
    <row r="136" spans="1:10" s="3" customFormat="1" ht="12.75">
      <c r="A136" s="18"/>
      <c r="B136" s="19"/>
      <c r="C136" s="131" t="s">
        <v>321</v>
      </c>
      <c r="D136" s="4"/>
      <c r="E136" s="4">
        <f>K135</f>
        <v>183497.90666666668</v>
      </c>
      <c r="F136" s="4"/>
      <c r="G136" s="4">
        <f>0.7*G135</f>
        <v>44450</v>
      </c>
      <c r="H136" s="4">
        <f>0.7*H135</f>
        <v>90160</v>
      </c>
      <c r="I136" s="4"/>
      <c r="J136" s="4"/>
    </row>
    <row r="137" spans="1:10" s="3" customFormat="1" ht="12.75">
      <c r="A137" s="5"/>
      <c r="B137" s="9"/>
      <c r="C137" s="116" t="s">
        <v>322</v>
      </c>
      <c r="D137" s="2"/>
      <c r="E137" s="2">
        <f>E135-E136</f>
        <v>65902.09333333332</v>
      </c>
      <c r="F137" s="2"/>
      <c r="G137" s="2">
        <f>G135-G136</f>
        <v>19050</v>
      </c>
      <c r="H137" s="2">
        <f>H135-H136</f>
        <v>38640</v>
      </c>
      <c r="I137" s="2"/>
      <c r="J137" s="2"/>
    </row>
    <row r="138" spans="1:10" s="3" customFormat="1" ht="12.75">
      <c r="A138" s="5"/>
      <c r="B138" s="9"/>
      <c r="C138" s="116"/>
      <c r="D138" s="2"/>
      <c r="E138" s="2"/>
      <c r="F138" s="2"/>
      <c r="G138" s="2"/>
      <c r="H138" s="2"/>
      <c r="I138" s="2"/>
      <c r="J138" s="2"/>
    </row>
    <row r="139" spans="1:10" s="3" customFormat="1" ht="12.75">
      <c r="A139" s="5"/>
      <c r="B139" s="9"/>
      <c r="C139" s="116"/>
      <c r="D139" s="2"/>
      <c r="E139" s="2"/>
      <c r="F139" s="2"/>
      <c r="G139" s="2"/>
      <c r="H139" s="2"/>
      <c r="I139" s="2"/>
      <c r="J139" s="2"/>
    </row>
    <row r="140" spans="1:10" s="3" customFormat="1" ht="13.5" thickBot="1">
      <c r="A140" s="5"/>
      <c r="B140" s="9"/>
      <c r="C140" s="116"/>
      <c r="D140" s="2"/>
      <c r="E140" s="2"/>
      <c r="F140" s="2"/>
      <c r="G140" s="2"/>
      <c r="H140" s="2"/>
      <c r="I140" s="2"/>
      <c r="J140" s="2"/>
    </row>
    <row r="141" spans="1:10" s="3" customFormat="1" ht="25.5">
      <c r="A141" s="90"/>
      <c r="B141" s="90"/>
      <c r="C141" s="116"/>
      <c r="D141" s="137" t="s">
        <v>4</v>
      </c>
      <c r="E141" s="91" t="s">
        <v>146</v>
      </c>
      <c r="F141" s="137" t="s">
        <v>229</v>
      </c>
      <c r="G141" s="138" t="s">
        <v>230</v>
      </c>
      <c r="H141" s="138" t="s">
        <v>230</v>
      </c>
      <c r="I141" s="138" t="s">
        <v>147</v>
      </c>
      <c r="J141" s="93" t="s">
        <v>4</v>
      </c>
    </row>
    <row r="142" spans="1:10" s="3" customFormat="1" ht="13.5" thickBot="1">
      <c r="A142" s="12"/>
      <c r="B142" s="13"/>
      <c r="C142" s="116"/>
      <c r="D142" s="139"/>
      <c r="E142" s="87"/>
      <c r="F142" s="140"/>
      <c r="G142" s="140" t="s">
        <v>231</v>
      </c>
      <c r="H142" s="140" t="s">
        <v>289</v>
      </c>
      <c r="I142" s="140" t="s">
        <v>143</v>
      </c>
      <c r="J142" s="88"/>
    </row>
    <row r="143" spans="1:10" s="3" customFormat="1" ht="13.5" thickBot="1">
      <c r="A143" s="288" t="s">
        <v>133</v>
      </c>
      <c r="B143" s="289"/>
      <c r="C143" s="290"/>
      <c r="D143" s="141" t="s">
        <v>5</v>
      </c>
      <c r="E143" s="31" t="s">
        <v>5</v>
      </c>
      <c r="F143" s="32" t="s">
        <v>5</v>
      </c>
      <c r="G143" s="32" t="s">
        <v>5</v>
      </c>
      <c r="H143" s="32" t="s">
        <v>5</v>
      </c>
      <c r="I143" s="32" t="s">
        <v>5</v>
      </c>
      <c r="J143" s="30" t="s">
        <v>5</v>
      </c>
    </row>
    <row r="144" spans="1:10" s="3" customFormat="1" ht="38.25">
      <c r="A144" s="5">
        <v>1</v>
      </c>
      <c r="B144" s="9"/>
      <c r="C144" s="101" t="s">
        <v>507</v>
      </c>
      <c r="D144" s="51">
        <f>D40</f>
        <v>0</v>
      </c>
      <c r="E144" s="51">
        <f aca="true" t="shared" si="26" ref="E144:J144">E40</f>
        <v>42700</v>
      </c>
      <c r="F144" s="51">
        <f t="shared" si="26"/>
        <v>15681.24</v>
      </c>
      <c r="G144" s="51">
        <f t="shared" si="26"/>
        <v>8000</v>
      </c>
      <c r="H144" s="51">
        <f t="shared" si="26"/>
        <v>31200</v>
      </c>
      <c r="I144" s="51">
        <f t="shared" si="26"/>
        <v>10000</v>
      </c>
      <c r="J144" s="51">
        <f t="shared" si="26"/>
        <v>97581.23999999999</v>
      </c>
    </row>
    <row r="145" spans="1:10" s="3" customFormat="1" ht="26.25" thickBot="1">
      <c r="A145" s="5">
        <v>2</v>
      </c>
      <c r="B145" s="9"/>
      <c r="C145" s="101" t="s">
        <v>508</v>
      </c>
      <c r="D145" s="61">
        <f>D66</f>
        <v>0</v>
      </c>
      <c r="E145" s="61">
        <f aca="true" t="shared" si="27" ref="E145:J145">E66</f>
        <v>129700</v>
      </c>
      <c r="F145" s="61">
        <f t="shared" si="27"/>
        <v>0</v>
      </c>
      <c r="G145" s="61">
        <f t="shared" si="27"/>
        <v>21000</v>
      </c>
      <c r="H145" s="61">
        <f t="shared" si="27"/>
        <v>59600</v>
      </c>
      <c r="I145" s="61">
        <f t="shared" si="27"/>
        <v>13000</v>
      </c>
      <c r="J145" s="61">
        <f t="shared" si="27"/>
        <v>223300</v>
      </c>
    </row>
    <row r="146" spans="1:10" s="3" customFormat="1" ht="26.25" thickBot="1">
      <c r="A146" s="5">
        <v>3</v>
      </c>
      <c r="B146" s="9"/>
      <c r="C146" s="243" t="s">
        <v>509</v>
      </c>
      <c r="D146" s="77">
        <f>D86</f>
        <v>0</v>
      </c>
      <c r="E146" s="77">
        <f aca="true" t="shared" si="28" ref="E146:J146">E86</f>
        <v>40000</v>
      </c>
      <c r="F146" s="77">
        <f t="shared" si="28"/>
        <v>0</v>
      </c>
      <c r="G146" s="77">
        <f t="shared" si="28"/>
        <v>27500</v>
      </c>
      <c r="H146" s="77">
        <f t="shared" si="28"/>
        <v>22000</v>
      </c>
      <c r="I146" s="77">
        <f t="shared" si="28"/>
        <v>9000</v>
      </c>
      <c r="J146" s="77">
        <f t="shared" si="28"/>
        <v>98500</v>
      </c>
    </row>
    <row r="147" spans="1:10" s="3" customFormat="1" ht="13.5" thickBot="1">
      <c r="A147" s="5">
        <v>4</v>
      </c>
      <c r="B147" s="9"/>
      <c r="C147" s="243" t="s">
        <v>510</v>
      </c>
      <c r="D147" s="61">
        <f>D103</f>
        <v>0</v>
      </c>
      <c r="E147" s="61">
        <f aca="true" t="shared" si="29" ref="E147:J147">E103</f>
        <v>30000</v>
      </c>
      <c r="F147" s="61">
        <f t="shared" si="29"/>
        <v>0</v>
      </c>
      <c r="G147" s="61">
        <f t="shared" si="29"/>
        <v>7000</v>
      </c>
      <c r="H147" s="61">
        <f t="shared" si="29"/>
        <v>16000</v>
      </c>
      <c r="I147" s="61">
        <f t="shared" si="29"/>
        <v>5000</v>
      </c>
      <c r="J147" s="61">
        <f t="shared" si="29"/>
        <v>58000</v>
      </c>
    </row>
    <row r="148" spans="1:10" s="3" customFormat="1" ht="39" thickBot="1">
      <c r="A148" s="5">
        <v>5</v>
      </c>
      <c r="B148" s="9"/>
      <c r="C148" s="244" t="s">
        <v>511</v>
      </c>
      <c r="D148" s="61">
        <f>D133</f>
        <v>0</v>
      </c>
      <c r="E148" s="61">
        <f aca="true" t="shared" si="30" ref="E148:J148">E133</f>
        <v>7000</v>
      </c>
      <c r="F148" s="61">
        <f t="shared" si="30"/>
        <v>15000</v>
      </c>
      <c r="G148" s="61">
        <f t="shared" si="30"/>
        <v>0</v>
      </c>
      <c r="H148" s="61">
        <f t="shared" si="30"/>
        <v>0</v>
      </c>
      <c r="I148" s="61">
        <f t="shared" si="30"/>
        <v>0</v>
      </c>
      <c r="J148" s="61">
        <f t="shared" si="30"/>
        <v>22000</v>
      </c>
    </row>
    <row r="149" spans="1:10" s="3" customFormat="1" ht="12.75">
      <c r="A149" s="5"/>
      <c r="B149" s="9"/>
      <c r="C149" s="116" t="s">
        <v>4</v>
      </c>
      <c r="D149" s="135">
        <f>D135</f>
        <v>0</v>
      </c>
      <c r="E149" s="135">
        <f aca="true" t="shared" si="31" ref="E149:J149">E135</f>
        <v>249400</v>
      </c>
      <c r="F149" s="135">
        <f t="shared" si="31"/>
        <v>30681.239999999998</v>
      </c>
      <c r="G149" s="135">
        <f t="shared" si="31"/>
        <v>63500</v>
      </c>
      <c r="H149" s="135">
        <f t="shared" si="31"/>
        <v>128800</v>
      </c>
      <c r="I149" s="135">
        <f t="shared" si="31"/>
        <v>37000</v>
      </c>
      <c r="J149" s="135">
        <f t="shared" si="31"/>
        <v>499381.24</v>
      </c>
    </row>
    <row r="150" spans="1:10" s="3" customFormat="1" ht="12.75">
      <c r="A150" s="5"/>
      <c r="B150" s="9"/>
      <c r="C150" s="116"/>
      <c r="D150" s="2"/>
      <c r="E150" s="2"/>
      <c r="F150" s="2"/>
      <c r="G150" s="2"/>
      <c r="H150" s="2"/>
      <c r="I150" s="2"/>
      <c r="J150" s="2"/>
    </row>
    <row r="151" spans="1:10" ht="15">
      <c r="A151" s="7"/>
      <c r="B151" s="10"/>
      <c r="C151" s="133"/>
      <c r="D151" s="1"/>
      <c r="E151" s="1"/>
      <c r="F151" s="1"/>
      <c r="G151" s="1"/>
      <c r="H151" s="1"/>
      <c r="I151" s="1"/>
      <c r="J151" s="1"/>
    </row>
    <row r="152" spans="1:10" ht="15">
      <c r="A152" s="7"/>
      <c r="B152" s="10"/>
      <c r="C152" s="133"/>
      <c r="D152" s="1"/>
      <c r="E152" s="1"/>
      <c r="F152" s="1"/>
      <c r="G152" s="1"/>
      <c r="H152" s="1"/>
      <c r="I152" s="1"/>
      <c r="J152" s="1"/>
    </row>
    <row r="153" spans="1:10" ht="15">
      <c r="A153" s="7"/>
      <c r="B153" s="10"/>
      <c r="C153" s="133"/>
      <c r="D153" s="1"/>
      <c r="E153" s="1"/>
      <c r="F153" s="1"/>
      <c r="G153" s="1"/>
      <c r="H153" s="1"/>
      <c r="I153" s="1"/>
      <c r="J153" s="1"/>
    </row>
    <row r="154" spans="1:10" ht="15">
      <c r="A154" s="7"/>
      <c r="B154" s="10"/>
      <c r="C154" s="133"/>
      <c r="D154" s="1"/>
      <c r="E154" s="1"/>
      <c r="F154" s="1"/>
      <c r="G154" s="1"/>
      <c r="H154" s="1"/>
      <c r="I154" s="1"/>
      <c r="J154" s="1"/>
    </row>
    <row r="155" spans="1:10" ht="15">
      <c r="A155" s="7"/>
      <c r="B155" s="10"/>
      <c r="C155" s="133"/>
      <c r="D155" s="1"/>
      <c r="E155" s="1"/>
      <c r="F155" s="1"/>
      <c r="G155" s="1"/>
      <c r="H155" s="1"/>
      <c r="I155" s="1"/>
      <c r="J155" s="1"/>
    </row>
    <row r="156" spans="1:10" ht="15">
      <c r="A156" s="7"/>
      <c r="B156" s="10"/>
      <c r="C156" s="133"/>
      <c r="D156" s="1"/>
      <c r="E156" s="1"/>
      <c r="F156" s="1"/>
      <c r="G156" s="1"/>
      <c r="H156" s="1"/>
      <c r="I156" s="1"/>
      <c r="J156" s="1"/>
    </row>
    <row r="157" spans="1:10" ht="15">
      <c r="A157" s="7"/>
      <c r="B157" s="10"/>
      <c r="C157" s="133"/>
      <c r="D157" s="1"/>
      <c r="E157" s="1"/>
      <c r="F157" s="1"/>
      <c r="G157" s="1"/>
      <c r="H157" s="1"/>
      <c r="I157" s="1"/>
      <c r="J157" s="1"/>
    </row>
    <row r="158" spans="1:10" ht="15">
      <c r="A158" s="7"/>
      <c r="B158" s="10"/>
      <c r="C158" s="133"/>
      <c r="D158" s="1"/>
      <c r="E158" s="1"/>
      <c r="F158" s="1"/>
      <c r="G158" s="1"/>
      <c r="H158" s="1"/>
      <c r="I158" s="1"/>
      <c r="J158" s="1"/>
    </row>
    <row r="159" spans="1:10" ht="15">
      <c r="A159" s="7"/>
      <c r="B159" s="10"/>
      <c r="C159" s="133"/>
      <c r="D159" s="1"/>
      <c r="E159" s="1"/>
      <c r="F159" s="1"/>
      <c r="G159" s="1"/>
      <c r="H159" s="1"/>
      <c r="I159" s="1"/>
      <c r="J159" s="1"/>
    </row>
    <row r="160" spans="1:10" ht="15">
      <c r="A160" s="7"/>
      <c r="B160" s="10"/>
      <c r="C160" s="133"/>
      <c r="D160" s="1"/>
      <c r="E160" s="1"/>
      <c r="F160" s="1"/>
      <c r="G160" s="1"/>
      <c r="H160" s="1"/>
      <c r="I160" s="1"/>
      <c r="J160" s="1"/>
    </row>
    <row r="161" spans="1:10" ht="15">
      <c r="A161" s="7"/>
      <c r="B161" s="10"/>
      <c r="C161" s="133"/>
      <c r="D161" s="1"/>
      <c r="E161" s="1"/>
      <c r="F161" s="1"/>
      <c r="G161" s="1"/>
      <c r="H161" s="1"/>
      <c r="I161" s="1"/>
      <c r="J161" s="1"/>
    </row>
    <row r="162" spans="1:10" ht="15">
      <c r="A162" s="7"/>
      <c r="B162" s="10"/>
      <c r="C162" s="133"/>
      <c r="D162" s="1"/>
      <c r="E162" s="1"/>
      <c r="F162" s="1"/>
      <c r="G162" s="1"/>
      <c r="H162" s="1"/>
      <c r="I162" s="1"/>
      <c r="J162" s="1"/>
    </row>
    <row r="163" spans="1:10" ht="15">
      <c r="A163" s="7"/>
      <c r="B163" s="10"/>
      <c r="C163" s="133"/>
      <c r="D163" s="1"/>
      <c r="E163" s="1"/>
      <c r="F163" s="1"/>
      <c r="G163" s="1"/>
      <c r="H163" s="1"/>
      <c r="I163" s="1"/>
      <c r="J163" s="1"/>
    </row>
    <row r="164" spans="1:10" ht="15">
      <c r="A164" s="7"/>
      <c r="B164" s="10"/>
      <c r="C164" s="133"/>
      <c r="D164" s="1"/>
      <c r="E164" s="1"/>
      <c r="F164" s="1"/>
      <c r="G164" s="1"/>
      <c r="H164" s="1"/>
      <c r="I164" s="1"/>
      <c r="J164" s="1"/>
    </row>
    <row r="165" spans="1:10" ht="15">
      <c r="A165" s="7"/>
      <c r="B165" s="10"/>
      <c r="C165" s="133"/>
      <c r="D165" s="1"/>
      <c r="E165" s="1"/>
      <c r="F165" s="1"/>
      <c r="G165" s="1"/>
      <c r="H165" s="1"/>
      <c r="I165" s="1"/>
      <c r="J165" s="1"/>
    </row>
    <row r="166" spans="1:10" ht="15">
      <c r="A166" s="7"/>
      <c r="B166" s="10"/>
      <c r="C166" s="133"/>
      <c r="D166" s="1"/>
      <c r="E166" s="1"/>
      <c r="F166" s="1"/>
      <c r="G166" s="1"/>
      <c r="H166" s="1"/>
      <c r="I166" s="1"/>
      <c r="J166" s="1"/>
    </row>
    <row r="167" spans="1:10" ht="15">
      <c r="A167" s="7"/>
      <c r="B167" s="10"/>
      <c r="C167" s="133"/>
      <c r="D167" s="1"/>
      <c r="E167" s="1"/>
      <c r="F167" s="1"/>
      <c r="G167" s="1"/>
      <c r="H167" s="1"/>
      <c r="I167" s="1"/>
      <c r="J167" s="1"/>
    </row>
    <row r="168" spans="1:10" ht="15">
      <c r="A168" s="7"/>
      <c r="B168" s="10"/>
      <c r="C168" s="133"/>
      <c r="D168" s="1"/>
      <c r="E168" s="1"/>
      <c r="F168" s="1"/>
      <c r="G168" s="1"/>
      <c r="H168" s="1"/>
      <c r="I168" s="1"/>
      <c r="J168" s="1"/>
    </row>
    <row r="169" spans="1:10" ht="15">
      <c r="A169" s="7"/>
      <c r="B169" s="10"/>
      <c r="C169" s="133"/>
      <c r="D169" s="1"/>
      <c r="E169" s="1"/>
      <c r="F169" s="1"/>
      <c r="G169" s="1"/>
      <c r="H169" s="1"/>
      <c r="I169" s="1"/>
      <c r="J169" s="1"/>
    </row>
    <row r="170" spans="1:10" ht="15">
      <c r="A170" s="7"/>
      <c r="B170" s="10"/>
      <c r="C170" s="133"/>
      <c r="D170" s="1"/>
      <c r="E170" s="1"/>
      <c r="F170" s="1"/>
      <c r="G170" s="1"/>
      <c r="H170" s="1"/>
      <c r="I170" s="1"/>
      <c r="J170" s="1"/>
    </row>
    <row r="171" spans="1:10" ht="15">
      <c r="A171" s="7"/>
      <c r="B171" s="10"/>
      <c r="C171" s="133"/>
      <c r="D171" s="1"/>
      <c r="E171" s="1"/>
      <c r="F171" s="1"/>
      <c r="G171" s="1"/>
      <c r="H171" s="1"/>
      <c r="I171" s="1"/>
      <c r="J171" s="1"/>
    </row>
    <row r="172" spans="1:10" ht="15">
      <c r="A172" s="7"/>
      <c r="B172" s="10"/>
      <c r="C172" s="133"/>
      <c r="D172" s="1"/>
      <c r="E172" s="1"/>
      <c r="F172" s="1"/>
      <c r="G172" s="1"/>
      <c r="H172" s="1"/>
      <c r="I172" s="1"/>
      <c r="J172" s="1"/>
    </row>
    <row r="173" spans="1:10" ht="15">
      <c r="A173" s="7"/>
      <c r="B173" s="10"/>
      <c r="C173" s="133"/>
      <c r="D173" s="1"/>
      <c r="E173" s="1"/>
      <c r="F173" s="1"/>
      <c r="G173" s="1"/>
      <c r="H173" s="1"/>
      <c r="I173" s="1"/>
      <c r="J173" s="1"/>
    </row>
    <row r="174" spans="1:10" ht="15">
      <c r="A174" s="7"/>
      <c r="B174" s="10"/>
      <c r="C174" s="133"/>
      <c r="D174" s="1"/>
      <c r="E174" s="1"/>
      <c r="F174" s="1"/>
      <c r="G174" s="1"/>
      <c r="H174" s="1"/>
      <c r="I174" s="1"/>
      <c r="J174" s="1"/>
    </row>
    <row r="175" spans="1:10" ht="15">
      <c r="A175" s="7"/>
      <c r="B175" s="10"/>
      <c r="C175" s="133"/>
      <c r="D175" s="1"/>
      <c r="E175" s="1"/>
      <c r="F175" s="1"/>
      <c r="G175" s="1"/>
      <c r="H175" s="1"/>
      <c r="I175" s="1"/>
      <c r="J175" s="1"/>
    </row>
    <row r="176" spans="1:10" ht="15">
      <c r="A176" s="7"/>
      <c r="B176" s="10"/>
      <c r="C176" s="133"/>
      <c r="D176" s="1"/>
      <c r="E176" s="1"/>
      <c r="F176" s="1"/>
      <c r="G176" s="1"/>
      <c r="H176" s="1"/>
      <c r="I176" s="1"/>
      <c r="J176" s="1"/>
    </row>
    <row r="177" spans="1:10" ht="15">
      <c r="A177" s="7"/>
      <c r="B177" s="10"/>
      <c r="C177" s="133"/>
      <c r="D177" s="1"/>
      <c r="E177" s="1"/>
      <c r="F177" s="1"/>
      <c r="G177" s="1"/>
      <c r="H177" s="1"/>
      <c r="I177" s="1"/>
      <c r="J177" s="1"/>
    </row>
    <row r="178" spans="1:10" ht="15">
      <c r="A178" s="7"/>
      <c r="B178" s="10"/>
      <c r="C178" s="133"/>
      <c r="D178" s="1"/>
      <c r="E178" s="1"/>
      <c r="F178" s="1"/>
      <c r="G178" s="1"/>
      <c r="H178" s="1"/>
      <c r="I178" s="1"/>
      <c r="J178" s="1"/>
    </row>
    <row r="179" spans="1:10" ht="15">
      <c r="A179" s="7"/>
      <c r="B179" s="10"/>
      <c r="C179" s="133"/>
      <c r="D179" s="1"/>
      <c r="E179" s="1"/>
      <c r="F179" s="1"/>
      <c r="G179" s="1"/>
      <c r="H179" s="1"/>
      <c r="I179" s="1"/>
      <c r="J179" s="1"/>
    </row>
    <row r="180" spans="1:10" ht="15">
      <c r="A180" s="7"/>
      <c r="B180" s="10"/>
      <c r="C180" s="133"/>
      <c r="D180" s="1"/>
      <c r="E180" s="1"/>
      <c r="F180" s="1"/>
      <c r="G180" s="1"/>
      <c r="H180" s="1"/>
      <c r="I180" s="1"/>
      <c r="J180" s="1"/>
    </row>
    <row r="181" spans="1:10" ht="15">
      <c r="A181" s="7"/>
      <c r="B181" s="10"/>
      <c r="C181" s="133"/>
      <c r="D181" s="1"/>
      <c r="E181" s="1"/>
      <c r="F181" s="1"/>
      <c r="G181" s="1"/>
      <c r="H181" s="1"/>
      <c r="I181" s="1"/>
      <c r="J181" s="1"/>
    </row>
    <row r="182" spans="1:10" ht="15">
      <c r="A182" s="7"/>
      <c r="B182" s="10"/>
      <c r="C182" s="133"/>
      <c r="D182" s="1"/>
      <c r="E182" s="1"/>
      <c r="F182" s="1"/>
      <c r="G182" s="1"/>
      <c r="H182" s="1"/>
      <c r="I182" s="1"/>
      <c r="J182" s="1"/>
    </row>
    <row r="183" spans="1:10" ht="15">
      <c r="A183" s="7"/>
      <c r="B183" s="10"/>
      <c r="C183" s="133"/>
      <c r="D183" s="1"/>
      <c r="E183" s="1"/>
      <c r="F183" s="1"/>
      <c r="G183" s="1"/>
      <c r="H183" s="1"/>
      <c r="I183" s="1"/>
      <c r="J183" s="1"/>
    </row>
    <row r="184" spans="1:10" ht="15">
      <c r="A184" s="7"/>
      <c r="B184" s="10"/>
      <c r="C184" s="133"/>
      <c r="D184" s="1"/>
      <c r="E184" s="1"/>
      <c r="F184" s="1"/>
      <c r="G184" s="1"/>
      <c r="H184" s="1"/>
      <c r="I184" s="1"/>
      <c r="J184" s="1"/>
    </row>
    <row r="185" spans="1:10" ht="15">
      <c r="A185" s="7"/>
      <c r="B185" s="10"/>
      <c r="C185" s="133"/>
      <c r="D185" s="1"/>
      <c r="E185" s="1"/>
      <c r="F185" s="1"/>
      <c r="G185" s="1"/>
      <c r="H185" s="1"/>
      <c r="I185" s="1"/>
      <c r="J185" s="1"/>
    </row>
    <row r="186" spans="1:10" ht="15">
      <c r="A186" s="7"/>
      <c r="B186" s="10"/>
      <c r="C186" s="133"/>
      <c r="D186" s="1"/>
      <c r="E186" s="1"/>
      <c r="F186" s="1"/>
      <c r="G186" s="1"/>
      <c r="H186" s="1"/>
      <c r="I186" s="1"/>
      <c r="J186" s="1"/>
    </row>
    <row r="187" spans="1:10" ht="15">
      <c r="A187" s="7"/>
      <c r="B187" s="10"/>
      <c r="C187" s="133"/>
      <c r="D187" s="1"/>
      <c r="E187" s="1"/>
      <c r="F187" s="1"/>
      <c r="G187" s="1"/>
      <c r="H187" s="1"/>
      <c r="I187" s="1"/>
      <c r="J187" s="1"/>
    </row>
    <row r="188" spans="1:10" ht="15">
      <c r="A188" s="7"/>
      <c r="B188" s="10"/>
      <c r="C188" s="133"/>
      <c r="D188" s="1"/>
      <c r="E188" s="1"/>
      <c r="F188" s="1"/>
      <c r="G188" s="1"/>
      <c r="H188" s="1"/>
      <c r="I188" s="1"/>
      <c r="J188" s="1"/>
    </row>
    <row r="189" spans="1:10" ht="15">
      <c r="A189" s="7"/>
      <c r="B189" s="10"/>
      <c r="C189" s="133"/>
      <c r="D189" s="1"/>
      <c r="E189" s="1"/>
      <c r="F189" s="1"/>
      <c r="G189" s="1"/>
      <c r="H189" s="1"/>
      <c r="I189" s="1"/>
      <c r="J189" s="1"/>
    </row>
    <row r="190" spans="1:10" ht="15">
      <c r="A190" s="7"/>
      <c r="B190" s="10"/>
      <c r="C190" s="133"/>
      <c r="D190" s="1"/>
      <c r="E190" s="1"/>
      <c r="F190" s="1"/>
      <c r="G190" s="1"/>
      <c r="H190" s="1"/>
      <c r="I190" s="1"/>
      <c r="J190" s="1"/>
    </row>
    <row r="191" spans="1:10" ht="15">
      <c r="A191" s="7"/>
      <c r="B191" s="10"/>
      <c r="C191" s="133"/>
      <c r="D191" s="1"/>
      <c r="E191" s="1"/>
      <c r="F191" s="1"/>
      <c r="G191" s="1"/>
      <c r="H191" s="1"/>
      <c r="I191" s="1"/>
      <c r="J191" s="1"/>
    </row>
    <row r="192" spans="1:10" ht="15">
      <c r="A192" s="7"/>
      <c r="B192" s="10"/>
      <c r="C192" s="133"/>
      <c r="D192" s="1"/>
      <c r="E192" s="1"/>
      <c r="F192" s="1"/>
      <c r="G192" s="1"/>
      <c r="H192" s="1"/>
      <c r="I192" s="1"/>
      <c r="J192" s="1"/>
    </row>
    <row r="193" spans="1:10" ht="15">
      <c r="A193" s="7"/>
      <c r="B193" s="10"/>
      <c r="C193" s="133"/>
      <c r="D193" s="1"/>
      <c r="E193" s="1"/>
      <c r="F193" s="1"/>
      <c r="G193" s="1"/>
      <c r="H193" s="1"/>
      <c r="I193" s="1"/>
      <c r="J193" s="1"/>
    </row>
    <row r="194" spans="1:10" ht="15">
      <c r="A194" s="7"/>
      <c r="B194" s="10"/>
      <c r="C194" s="133"/>
      <c r="D194" s="1"/>
      <c r="E194" s="1"/>
      <c r="F194" s="1"/>
      <c r="G194" s="1"/>
      <c r="H194" s="1"/>
      <c r="I194" s="1"/>
      <c r="J194" s="1"/>
    </row>
    <row r="195" spans="1:10" ht="15">
      <c r="A195" s="7"/>
      <c r="B195" s="10"/>
      <c r="C195" s="133"/>
      <c r="D195" s="1"/>
      <c r="E195" s="1"/>
      <c r="F195" s="1"/>
      <c r="G195" s="1"/>
      <c r="H195" s="1"/>
      <c r="I195" s="1"/>
      <c r="J195" s="1"/>
    </row>
    <row r="196" spans="1:10" ht="15">
      <c r="A196" s="7"/>
      <c r="B196" s="10"/>
      <c r="C196" s="133"/>
      <c r="D196" s="1"/>
      <c r="E196" s="1"/>
      <c r="F196" s="1"/>
      <c r="G196" s="1"/>
      <c r="H196" s="1"/>
      <c r="I196" s="1"/>
      <c r="J196" s="1"/>
    </row>
    <row r="197" spans="1:10" ht="15">
      <c r="A197" s="7"/>
      <c r="B197" s="10"/>
      <c r="C197" s="133"/>
      <c r="D197" s="1"/>
      <c r="E197" s="1"/>
      <c r="F197" s="1"/>
      <c r="G197" s="1"/>
      <c r="H197" s="1"/>
      <c r="I197" s="1"/>
      <c r="J197" s="1"/>
    </row>
    <row r="198" spans="1:10" ht="15">
      <c r="A198" s="7"/>
      <c r="B198" s="10"/>
      <c r="C198" s="133"/>
      <c r="D198" s="1"/>
      <c r="E198" s="1"/>
      <c r="F198" s="1"/>
      <c r="G198" s="1"/>
      <c r="H198" s="1"/>
      <c r="I198" s="1"/>
      <c r="J198" s="1"/>
    </row>
    <row r="199" spans="1:10" ht="15">
      <c r="A199" s="7"/>
      <c r="B199" s="10"/>
      <c r="C199" s="133"/>
      <c r="D199" s="1"/>
      <c r="E199" s="1"/>
      <c r="F199" s="1"/>
      <c r="G199" s="1"/>
      <c r="H199" s="1"/>
      <c r="I199" s="1"/>
      <c r="J199" s="1"/>
    </row>
    <row r="200" spans="1:10" ht="15">
      <c r="A200" s="7"/>
      <c r="B200" s="10"/>
      <c r="C200" s="133"/>
      <c r="D200" s="1"/>
      <c r="E200" s="1"/>
      <c r="F200" s="1"/>
      <c r="G200" s="1"/>
      <c r="H200" s="1"/>
      <c r="I200" s="1"/>
      <c r="J200" s="1"/>
    </row>
    <row r="201" spans="1:10" ht="15">
      <c r="A201" s="7"/>
      <c r="B201" s="10"/>
      <c r="C201" s="133"/>
      <c r="D201" s="1"/>
      <c r="E201" s="1"/>
      <c r="F201" s="1"/>
      <c r="G201" s="1"/>
      <c r="H201" s="1"/>
      <c r="I201" s="1"/>
      <c r="J201" s="1"/>
    </row>
    <row r="202" spans="1:10" ht="15">
      <c r="A202" s="7"/>
      <c r="B202" s="10"/>
      <c r="C202" s="133"/>
      <c r="D202" s="1"/>
      <c r="E202" s="1"/>
      <c r="F202" s="1"/>
      <c r="G202" s="1"/>
      <c r="H202" s="1"/>
      <c r="I202" s="1"/>
      <c r="J202" s="1"/>
    </row>
    <row r="203" spans="1:10" ht="15">
      <c r="A203" s="7"/>
      <c r="B203" s="10"/>
      <c r="C203" s="133"/>
      <c r="D203" s="1"/>
      <c r="E203" s="1"/>
      <c r="F203" s="1"/>
      <c r="G203" s="1"/>
      <c r="H203" s="1"/>
      <c r="I203" s="1"/>
      <c r="J203" s="1"/>
    </row>
    <row r="204" spans="1:10" ht="15">
      <c r="A204" s="7"/>
      <c r="B204" s="10"/>
      <c r="C204" s="133"/>
      <c r="D204" s="1"/>
      <c r="E204" s="1"/>
      <c r="F204" s="1"/>
      <c r="G204" s="1"/>
      <c r="H204" s="1"/>
      <c r="I204" s="1"/>
      <c r="J204" s="1"/>
    </row>
    <row r="205" spans="1:10" ht="15">
      <c r="A205" s="7"/>
      <c r="B205" s="10"/>
      <c r="C205" s="133"/>
      <c r="D205" s="1"/>
      <c r="E205" s="1"/>
      <c r="F205" s="1"/>
      <c r="G205" s="1"/>
      <c r="H205" s="1"/>
      <c r="I205" s="1"/>
      <c r="J205" s="1"/>
    </row>
    <row r="206" spans="1:10" ht="15">
      <c r="A206" s="7"/>
      <c r="B206" s="10"/>
      <c r="C206" s="133"/>
      <c r="D206" s="1"/>
      <c r="E206" s="1"/>
      <c r="F206" s="1"/>
      <c r="G206" s="1"/>
      <c r="H206" s="1"/>
      <c r="I206" s="1"/>
      <c r="J206" s="1"/>
    </row>
    <row r="207" spans="1:10" ht="15">
      <c r="A207" s="7"/>
      <c r="B207" s="10"/>
      <c r="C207" s="133"/>
      <c r="D207" s="1"/>
      <c r="E207" s="1"/>
      <c r="F207" s="1"/>
      <c r="G207" s="1"/>
      <c r="H207" s="1"/>
      <c r="I207" s="1"/>
      <c r="J207" s="1"/>
    </row>
    <row r="208" spans="1:10" ht="15">
      <c r="A208" s="7"/>
      <c r="B208" s="10"/>
      <c r="C208" s="133"/>
      <c r="D208" s="1"/>
      <c r="E208" s="1"/>
      <c r="F208" s="1"/>
      <c r="G208" s="1"/>
      <c r="H208" s="1"/>
      <c r="I208" s="1"/>
      <c r="J208" s="1"/>
    </row>
    <row r="209" spans="1:10" ht="15">
      <c r="A209" s="7"/>
      <c r="B209" s="10"/>
      <c r="C209" s="133"/>
      <c r="D209" s="1"/>
      <c r="E209" s="1"/>
      <c r="F209" s="1"/>
      <c r="G209" s="1"/>
      <c r="H209" s="1"/>
      <c r="I209" s="1"/>
      <c r="J209" s="1"/>
    </row>
    <row r="210" spans="1:10" ht="15">
      <c r="A210" s="7"/>
      <c r="B210" s="10"/>
      <c r="C210" s="133"/>
      <c r="D210" s="1"/>
      <c r="E210" s="1"/>
      <c r="F210" s="1"/>
      <c r="G210" s="1"/>
      <c r="H210" s="1"/>
      <c r="I210" s="1"/>
      <c r="J210" s="1"/>
    </row>
    <row r="211" spans="1:10" ht="15">
      <c r="A211" s="7"/>
      <c r="B211" s="10"/>
      <c r="C211" s="133"/>
      <c r="D211" s="1"/>
      <c r="E211" s="1"/>
      <c r="F211" s="1"/>
      <c r="G211" s="1"/>
      <c r="H211" s="1"/>
      <c r="I211" s="1"/>
      <c r="J211" s="1"/>
    </row>
    <row r="212" spans="1:10" ht="15">
      <c r="A212" s="7"/>
      <c r="B212" s="10"/>
      <c r="C212" s="133"/>
      <c r="D212" s="1"/>
      <c r="E212" s="1"/>
      <c r="F212" s="1"/>
      <c r="G212" s="1"/>
      <c r="H212" s="1"/>
      <c r="I212" s="1"/>
      <c r="J212" s="1"/>
    </row>
    <row r="213" spans="1:10" ht="15">
      <c r="A213" s="7"/>
      <c r="B213" s="10"/>
      <c r="C213" s="133"/>
      <c r="D213" s="1"/>
      <c r="E213" s="1"/>
      <c r="F213" s="1"/>
      <c r="G213" s="1"/>
      <c r="H213" s="1"/>
      <c r="I213" s="1"/>
      <c r="J213" s="1"/>
    </row>
    <row r="214" spans="1:10" ht="15">
      <c r="A214" s="7"/>
      <c r="B214" s="10"/>
      <c r="C214" s="133"/>
      <c r="D214" s="1"/>
      <c r="E214" s="1"/>
      <c r="F214" s="1"/>
      <c r="G214" s="1"/>
      <c r="H214" s="1"/>
      <c r="I214" s="1"/>
      <c r="J214" s="1"/>
    </row>
    <row r="215" spans="1:10" ht="15">
      <c r="A215" s="7"/>
      <c r="B215" s="10"/>
      <c r="C215" s="133"/>
      <c r="D215" s="1"/>
      <c r="E215" s="1"/>
      <c r="F215" s="1"/>
      <c r="G215" s="1"/>
      <c r="H215" s="1"/>
      <c r="I215" s="1"/>
      <c r="J215" s="1"/>
    </row>
    <row r="216" spans="1:10" ht="15">
      <c r="A216" s="7"/>
      <c r="B216" s="10"/>
      <c r="C216" s="133"/>
      <c r="D216" s="1"/>
      <c r="E216" s="1"/>
      <c r="F216" s="1"/>
      <c r="G216" s="1"/>
      <c r="H216" s="1"/>
      <c r="I216" s="1"/>
      <c r="J216" s="1"/>
    </row>
    <row r="217" spans="1:10" ht="15">
      <c r="A217" s="7"/>
      <c r="B217" s="10"/>
      <c r="C217" s="133"/>
      <c r="D217" s="1"/>
      <c r="E217" s="1"/>
      <c r="F217" s="1"/>
      <c r="G217" s="1"/>
      <c r="H217" s="1"/>
      <c r="I217" s="1"/>
      <c r="J217" s="1"/>
    </row>
    <row r="218" spans="1:10" ht="15">
      <c r="A218" s="7"/>
      <c r="B218" s="10"/>
      <c r="C218" s="133"/>
      <c r="D218" s="1"/>
      <c r="E218" s="1"/>
      <c r="F218" s="1"/>
      <c r="G218" s="1"/>
      <c r="H218" s="1"/>
      <c r="I218" s="1"/>
      <c r="J218" s="1"/>
    </row>
    <row r="219" spans="1:10" ht="15">
      <c r="A219" s="7"/>
      <c r="B219" s="10"/>
      <c r="C219" s="133"/>
      <c r="D219" s="1"/>
      <c r="E219" s="1"/>
      <c r="F219" s="1"/>
      <c r="G219" s="1"/>
      <c r="H219" s="1"/>
      <c r="I219" s="1"/>
      <c r="J219" s="1"/>
    </row>
    <row r="220" spans="1:10" ht="15">
      <c r="A220" s="7"/>
      <c r="B220" s="10"/>
      <c r="C220" s="133"/>
      <c r="D220" s="1"/>
      <c r="E220" s="1"/>
      <c r="F220" s="1"/>
      <c r="G220" s="1"/>
      <c r="H220" s="1"/>
      <c r="I220" s="1"/>
      <c r="J220" s="1"/>
    </row>
    <row r="221" spans="1:10" ht="15">
      <c r="A221" s="7"/>
      <c r="B221" s="10"/>
      <c r="C221" s="133"/>
      <c r="D221" s="1"/>
      <c r="E221" s="1"/>
      <c r="F221" s="1"/>
      <c r="G221" s="1"/>
      <c r="H221" s="1"/>
      <c r="I221" s="1"/>
      <c r="J221" s="1"/>
    </row>
    <row r="222" spans="1:10" ht="15">
      <c r="A222" s="7"/>
      <c r="B222" s="10"/>
      <c r="C222" s="133"/>
      <c r="D222" s="1"/>
      <c r="E222" s="1"/>
      <c r="F222" s="1"/>
      <c r="G222" s="1"/>
      <c r="H222" s="1"/>
      <c r="I222" s="1"/>
      <c r="J222" s="1"/>
    </row>
    <row r="223" spans="1:10" ht="15">
      <c r="A223" s="7"/>
      <c r="B223" s="10"/>
      <c r="C223" s="133"/>
      <c r="D223" s="1"/>
      <c r="E223" s="1"/>
      <c r="F223" s="1"/>
      <c r="G223" s="1"/>
      <c r="H223" s="1"/>
      <c r="I223" s="1"/>
      <c r="J223" s="1"/>
    </row>
    <row r="224" spans="1:10" ht="15">
      <c r="A224" s="7"/>
      <c r="B224" s="10"/>
      <c r="C224" s="133"/>
      <c r="D224" s="1"/>
      <c r="E224" s="1"/>
      <c r="F224" s="1"/>
      <c r="G224" s="1"/>
      <c r="H224" s="1"/>
      <c r="I224" s="1"/>
      <c r="J224" s="1"/>
    </row>
    <row r="225" spans="1:10" ht="15">
      <c r="A225" s="7"/>
      <c r="B225" s="10"/>
      <c r="C225" s="133"/>
      <c r="D225" s="1"/>
      <c r="E225" s="1"/>
      <c r="F225" s="1"/>
      <c r="G225" s="1"/>
      <c r="H225" s="1"/>
      <c r="I225" s="1"/>
      <c r="J225" s="1"/>
    </row>
    <row r="226" spans="1:10" ht="15">
      <c r="A226" s="7"/>
      <c r="B226" s="10"/>
      <c r="C226" s="133"/>
      <c r="D226" s="1"/>
      <c r="E226" s="1"/>
      <c r="F226" s="1"/>
      <c r="G226" s="1"/>
      <c r="H226" s="1"/>
      <c r="I226" s="1"/>
      <c r="J226" s="1"/>
    </row>
    <row r="227" spans="1:10" ht="15">
      <c r="A227" s="7"/>
      <c r="B227" s="10"/>
      <c r="C227" s="133"/>
      <c r="D227" s="1"/>
      <c r="E227" s="1"/>
      <c r="F227" s="1"/>
      <c r="G227" s="1"/>
      <c r="H227" s="1"/>
      <c r="I227" s="1"/>
      <c r="J227" s="1"/>
    </row>
    <row r="228" spans="1:10" ht="15">
      <c r="A228" s="7"/>
      <c r="B228" s="10"/>
      <c r="C228" s="133"/>
      <c r="D228" s="1"/>
      <c r="E228" s="1"/>
      <c r="F228" s="1"/>
      <c r="G228" s="1"/>
      <c r="H228" s="1"/>
      <c r="I228" s="1"/>
      <c r="J228" s="1"/>
    </row>
    <row r="229" spans="1:10" ht="15">
      <c r="A229" s="7"/>
      <c r="B229" s="10"/>
      <c r="C229" s="133"/>
      <c r="D229" s="1"/>
      <c r="E229" s="1"/>
      <c r="F229" s="1"/>
      <c r="G229" s="1"/>
      <c r="H229" s="1"/>
      <c r="I229" s="1"/>
      <c r="J229" s="1"/>
    </row>
    <row r="230" spans="1:10" ht="15">
      <c r="A230" s="7"/>
      <c r="B230" s="10"/>
      <c r="C230" s="133"/>
      <c r="D230" s="1"/>
      <c r="E230" s="1"/>
      <c r="F230" s="1"/>
      <c r="G230" s="1"/>
      <c r="H230" s="1"/>
      <c r="I230" s="1"/>
      <c r="J230" s="1"/>
    </row>
    <row r="231" spans="1:10" ht="15">
      <c r="A231" s="7"/>
      <c r="B231" s="10"/>
      <c r="C231" s="133"/>
      <c r="D231" s="1"/>
      <c r="E231" s="1"/>
      <c r="F231" s="1"/>
      <c r="G231" s="1"/>
      <c r="H231" s="1"/>
      <c r="I231" s="1"/>
      <c r="J231" s="1"/>
    </row>
    <row r="232" spans="1:10" ht="15">
      <c r="A232" s="7"/>
      <c r="B232" s="10"/>
      <c r="C232" s="133"/>
      <c r="D232" s="1"/>
      <c r="E232" s="1"/>
      <c r="F232" s="1"/>
      <c r="G232" s="1"/>
      <c r="H232" s="1"/>
      <c r="I232" s="1"/>
      <c r="J232" s="1"/>
    </row>
    <row r="233" spans="1:10" ht="15">
      <c r="A233" s="7"/>
      <c r="B233" s="10"/>
      <c r="C233" s="133"/>
      <c r="D233" s="1"/>
      <c r="E233" s="1"/>
      <c r="F233" s="1"/>
      <c r="G233" s="1"/>
      <c r="H233" s="1"/>
      <c r="I233" s="1"/>
      <c r="J233" s="1"/>
    </row>
    <row r="234" spans="1:10" ht="15">
      <c r="A234" s="7"/>
      <c r="B234" s="10"/>
      <c r="C234" s="133"/>
      <c r="D234" s="1"/>
      <c r="E234" s="1"/>
      <c r="F234" s="1"/>
      <c r="G234" s="1"/>
      <c r="H234" s="1"/>
      <c r="I234" s="1"/>
      <c r="J234" s="1"/>
    </row>
    <row r="235" spans="1:10" ht="15">
      <c r="A235" s="7"/>
      <c r="B235" s="10"/>
      <c r="C235" s="133"/>
      <c r="D235" s="1"/>
      <c r="E235" s="1"/>
      <c r="F235" s="1"/>
      <c r="G235" s="1"/>
      <c r="H235" s="1"/>
      <c r="I235" s="1"/>
      <c r="J235" s="1"/>
    </row>
    <row r="236" spans="1:10" ht="15">
      <c r="A236" s="7"/>
      <c r="B236" s="10"/>
      <c r="C236" s="133"/>
      <c r="D236" s="1"/>
      <c r="E236" s="1"/>
      <c r="F236" s="1"/>
      <c r="G236" s="1"/>
      <c r="H236" s="1"/>
      <c r="I236" s="1"/>
      <c r="J236" s="1"/>
    </row>
    <row r="237" spans="1:10" ht="15">
      <c r="A237" s="7"/>
      <c r="B237" s="10"/>
      <c r="C237" s="133"/>
      <c r="D237" s="1"/>
      <c r="E237" s="1"/>
      <c r="F237" s="1"/>
      <c r="G237" s="1"/>
      <c r="H237" s="1"/>
      <c r="I237" s="1"/>
      <c r="J237" s="1"/>
    </row>
    <row r="238" spans="1:10" ht="15">
      <c r="A238" s="7"/>
      <c r="B238" s="10"/>
      <c r="C238" s="133"/>
      <c r="D238" s="1"/>
      <c r="E238" s="1"/>
      <c r="F238" s="1"/>
      <c r="G238" s="1"/>
      <c r="H238" s="1"/>
      <c r="I238" s="1"/>
      <c r="J238" s="1"/>
    </row>
    <row r="239" spans="1:10" ht="15">
      <c r="A239" s="7"/>
      <c r="B239" s="10"/>
      <c r="C239" s="133"/>
      <c r="D239" s="1"/>
      <c r="E239" s="1"/>
      <c r="F239" s="1"/>
      <c r="G239" s="1"/>
      <c r="H239" s="1"/>
      <c r="I239" s="1"/>
      <c r="J239" s="1"/>
    </row>
    <row r="240" spans="1:10" ht="15">
      <c r="A240" s="7"/>
      <c r="B240" s="10"/>
      <c r="C240" s="133"/>
      <c r="D240" s="1"/>
      <c r="E240" s="1"/>
      <c r="F240" s="1"/>
      <c r="G240" s="1"/>
      <c r="H240" s="1"/>
      <c r="I240" s="1"/>
      <c r="J240" s="1"/>
    </row>
    <row r="241" spans="1:10" ht="15">
      <c r="A241" s="7"/>
      <c r="B241" s="10"/>
      <c r="C241" s="133"/>
      <c r="D241" s="1"/>
      <c r="E241" s="1"/>
      <c r="F241" s="1"/>
      <c r="G241" s="1"/>
      <c r="H241" s="1"/>
      <c r="I241" s="1"/>
      <c r="J241" s="1"/>
    </row>
    <row r="242" spans="1:10" ht="15">
      <c r="A242" s="7"/>
      <c r="B242" s="10"/>
      <c r="C242" s="133"/>
      <c r="D242" s="1"/>
      <c r="E242" s="1"/>
      <c r="F242" s="1"/>
      <c r="G242" s="1"/>
      <c r="H242" s="1"/>
      <c r="I242" s="1"/>
      <c r="J242" s="1"/>
    </row>
    <row r="243" spans="1:10" ht="15">
      <c r="A243" s="7"/>
      <c r="B243" s="10"/>
      <c r="C243" s="133"/>
      <c r="D243" s="1"/>
      <c r="E243" s="1"/>
      <c r="F243" s="1"/>
      <c r="G243" s="1"/>
      <c r="H243" s="1"/>
      <c r="I243" s="1"/>
      <c r="J243" s="1"/>
    </row>
    <row r="244" spans="1:10" ht="15">
      <c r="A244" s="7"/>
      <c r="B244" s="10"/>
      <c r="C244" s="133"/>
      <c r="D244" s="1"/>
      <c r="E244" s="1"/>
      <c r="F244" s="1"/>
      <c r="G244" s="1"/>
      <c r="H244" s="1"/>
      <c r="I244" s="1"/>
      <c r="J244" s="1"/>
    </row>
    <row r="245" spans="1:10" ht="15">
      <c r="A245" s="7"/>
      <c r="B245" s="10"/>
      <c r="C245" s="133"/>
      <c r="D245" s="1"/>
      <c r="E245" s="1"/>
      <c r="F245" s="1"/>
      <c r="G245" s="1"/>
      <c r="H245" s="1"/>
      <c r="I245" s="1"/>
      <c r="J245" s="1"/>
    </row>
    <row r="246" spans="1:10" ht="15">
      <c r="A246" s="7"/>
      <c r="B246" s="10"/>
      <c r="C246" s="133"/>
      <c r="D246" s="1"/>
      <c r="E246" s="1"/>
      <c r="F246" s="1"/>
      <c r="G246" s="1"/>
      <c r="H246" s="1"/>
      <c r="I246" s="1"/>
      <c r="J246" s="1"/>
    </row>
    <row r="247" spans="1:10" ht="15">
      <c r="A247" s="7"/>
      <c r="B247" s="10"/>
      <c r="C247" s="133"/>
      <c r="D247" s="1"/>
      <c r="E247" s="1"/>
      <c r="F247" s="1"/>
      <c r="G247" s="1"/>
      <c r="H247" s="1"/>
      <c r="I247" s="1"/>
      <c r="J247" s="1"/>
    </row>
    <row r="248" spans="1:10" ht="15">
      <c r="A248" s="7"/>
      <c r="B248" s="10"/>
      <c r="C248" s="133"/>
      <c r="D248" s="1"/>
      <c r="E248" s="1"/>
      <c r="F248" s="1"/>
      <c r="G248" s="1"/>
      <c r="H248" s="1"/>
      <c r="I248" s="1"/>
      <c r="J248" s="1"/>
    </row>
    <row r="249" spans="1:10" ht="15">
      <c r="A249" s="7"/>
      <c r="B249" s="10"/>
      <c r="C249" s="133"/>
      <c r="D249" s="1"/>
      <c r="E249" s="1"/>
      <c r="F249" s="1"/>
      <c r="G249" s="1"/>
      <c r="H249" s="1"/>
      <c r="I249" s="1"/>
      <c r="J249" s="1"/>
    </row>
    <row r="250" spans="1:10" ht="15">
      <c r="A250" s="7"/>
      <c r="B250" s="10"/>
      <c r="C250" s="133"/>
      <c r="D250" s="1"/>
      <c r="E250" s="1"/>
      <c r="F250" s="1"/>
      <c r="G250" s="1"/>
      <c r="H250" s="1"/>
      <c r="I250" s="1"/>
      <c r="J250" s="1"/>
    </row>
    <row r="251" spans="1:10" ht="15">
      <c r="A251" s="7"/>
      <c r="B251" s="10"/>
      <c r="C251" s="133"/>
      <c r="D251" s="1"/>
      <c r="E251" s="1"/>
      <c r="F251" s="1"/>
      <c r="G251" s="1"/>
      <c r="H251" s="1"/>
      <c r="I251" s="1"/>
      <c r="J251" s="1"/>
    </row>
    <row r="252" spans="1:10" ht="15">
      <c r="A252" s="7"/>
      <c r="B252" s="10"/>
      <c r="C252" s="133"/>
      <c r="D252" s="1"/>
      <c r="E252" s="1"/>
      <c r="F252" s="1"/>
      <c r="G252" s="1"/>
      <c r="H252" s="1"/>
      <c r="I252" s="1"/>
      <c r="J252" s="1"/>
    </row>
    <row r="253" spans="1:10" ht="15">
      <c r="A253" s="7"/>
      <c r="B253" s="10"/>
      <c r="C253" s="133"/>
      <c r="D253" s="1"/>
      <c r="E253" s="1"/>
      <c r="F253" s="1"/>
      <c r="G253" s="1"/>
      <c r="H253" s="1"/>
      <c r="I253" s="1"/>
      <c r="J253" s="1"/>
    </row>
    <row r="254" spans="1:10" ht="15">
      <c r="A254" s="7"/>
      <c r="B254" s="10"/>
      <c r="C254" s="133"/>
      <c r="D254" s="1"/>
      <c r="E254" s="1"/>
      <c r="F254" s="1"/>
      <c r="G254" s="1"/>
      <c r="H254" s="1"/>
      <c r="I254" s="1"/>
      <c r="J254" s="1"/>
    </row>
    <row r="255" spans="1:10" ht="15">
      <c r="A255" s="7"/>
      <c r="B255" s="10"/>
      <c r="C255" s="133"/>
      <c r="D255" s="1"/>
      <c r="E255" s="1"/>
      <c r="F255" s="1"/>
      <c r="G255" s="1"/>
      <c r="H255" s="1"/>
      <c r="I255" s="1"/>
      <c r="J255" s="1"/>
    </row>
    <row r="256" spans="1:10" ht="15">
      <c r="A256" s="7"/>
      <c r="B256" s="10"/>
      <c r="C256" s="133"/>
      <c r="D256" s="1"/>
      <c r="E256" s="1"/>
      <c r="F256" s="1"/>
      <c r="G256" s="1"/>
      <c r="H256" s="1"/>
      <c r="I256" s="1"/>
      <c r="J256" s="1"/>
    </row>
    <row r="257" spans="1:10" ht="15">
      <c r="A257" s="7"/>
      <c r="B257" s="10"/>
      <c r="C257" s="133"/>
      <c r="D257" s="1"/>
      <c r="E257" s="1"/>
      <c r="F257" s="1"/>
      <c r="G257" s="1"/>
      <c r="H257" s="1"/>
      <c r="I257" s="1"/>
      <c r="J257" s="1"/>
    </row>
    <row r="258" spans="1:10" ht="15">
      <c r="A258" s="7"/>
      <c r="B258" s="10"/>
      <c r="C258" s="133"/>
      <c r="D258" s="1"/>
      <c r="E258" s="1"/>
      <c r="F258" s="1"/>
      <c r="G258" s="1"/>
      <c r="H258" s="1"/>
      <c r="I258" s="1"/>
      <c r="J258" s="1"/>
    </row>
    <row r="259" spans="1:10" ht="15">
      <c r="A259" s="7"/>
      <c r="B259" s="10"/>
      <c r="C259" s="133"/>
      <c r="D259" s="1"/>
      <c r="E259" s="1"/>
      <c r="F259" s="1"/>
      <c r="G259" s="1"/>
      <c r="H259" s="1"/>
      <c r="I259" s="1"/>
      <c r="J259" s="1"/>
    </row>
    <row r="260" spans="1:10" ht="15">
      <c r="A260" s="7"/>
      <c r="B260" s="10"/>
      <c r="C260" s="133"/>
      <c r="D260" s="1"/>
      <c r="E260" s="1"/>
      <c r="F260" s="1"/>
      <c r="G260" s="1"/>
      <c r="H260" s="1"/>
      <c r="I260" s="1"/>
      <c r="J260" s="1"/>
    </row>
    <row r="261" spans="1:10" ht="15">
      <c r="A261" s="7"/>
      <c r="B261" s="10"/>
      <c r="C261" s="133"/>
      <c r="D261" s="1"/>
      <c r="E261" s="1"/>
      <c r="F261" s="1"/>
      <c r="G261" s="1"/>
      <c r="H261" s="1"/>
      <c r="I261" s="1"/>
      <c r="J261" s="1"/>
    </row>
    <row r="262" spans="1:10" ht="15">
      <c r="A262" s="7"/>
      <c r="B262" s="10"/>
      <c r="C262" s="133"/>
      <c r="D262" s="1"/>
      <c r="E262" s="1"/>
      <c r="F262" s="1"/>
      <c r="G262" s="1"/>
      <c r="H262" s="1"/>
      <c r="I262" s="1"/>
      <c r="J262" s="1"/>
    </row>
    <row r="263" spans="1:10" ht="15">
      <c r="A263" s="7"/>
      <c r="B263" s="10"/>
      <c r="C263" s="133"/>
      <c r="D263" s="1"/>
      <c r="E263" s="1"/>
      <c r="F263" s="1"/>
      <c r="G263" s="1"/>
      <c r="H263" s="1"/>
      <c r="I263" s="1"/>
      <c r="J263" s="1"/>
    </row>
    <row r="264" spans="1:10" ht="15">
      <c r="A264" s="7"/>
      <c r="B264" s="10"/>
      <c r="C264" s="133"/>
      <c r="D264" s="1"/>
      <c r="E264" s="1"/>
      <c r="F264" s="1"/>
      <c r="G264" s="1"/>
      <c r="H264" s="1"/>
      <c r="I264" s="1"/>
      <c r="J264" s="1"/>
    </row>
    <row r="265" spans="1:10" ht="15">
      <c r="A265" s="7"/>
      <c r="B265" s="10"/>
      <c r="C265" s="133"/>
      <c r="D265" s="1"/>
      <c r="E265" s="1"/>
      <c r="F265" s="1"/>
      <c r="G265" s="1"/>
      <c r="H265" s="1"/>
      <c r="I265" s="1"/>
      <c r="J265" s="1"/>
    </row>
    <row r="266" spans="1:10" ht="15">
      <c r="A266" s="7"/>
      <c r="B266" s="10"/>
      <c r="C266" s="133"/>
      <c r="D266" s="1"/>
      <c r="E266" s="1"/>
      <c r="F266" s="1"/>
      <c r="G266" s="1"/>
      <c r="H266" s="1"/>
      <c r="I266" s="1"/>
      <c r="J266" s="1"/>
    </row>
    <row r="267" spans="1:10" ht="15">
      <c r="A267" s="7"/>
      <c r="B267" s="10"/>
      <c r="C267" s="133"/>
      <c r="D267" s="1"/>
      <c r="E267" s="1"/>
      <c r="F267" s="1"/>
      <c r="G267" s="1"/>
      <c r="H267" s="1"/>
      <c r="I267" s="1"/>
      <c r="J267" s="1"/>
    </row>
    <row r="268" spans="1:10" ht="15">
      <c r="A268" s="7"/>
      <c r="B268" s="10"/>
      <c r="C268" s="133"/>
      <c r="D268" s="1"/>
      <c r="E268" s="1"/>
      <c r="F268" s="1"/>
      <c r="G268" s="1"/>
      <c r="H268" s="1"/>
      <c r="I268" s="1"/>
      <c r="J268" s="1"/>
    </row>
    <row r="269" spans="1:10" ht="15">
      <c r="A269" s="7"/>
      <c r="B269" s="10"/>
      <c r="C269" s="133"/>
      <c r="D269" s="1"/>
      <c r="E269" s="1"/>
      <c r="F269" s="1"/>
      <c r="G269" s="1"/>
      <c r="H269" s="1"/>
      <c r="I269" s="1"/>
      <c r="J269" s="1"/>
    </row>
    <row r="270" spans="1:10" ht="15">
      <c r="A270" s="7"/>
      <c r="B270" s="10"/>
      <c r="C270" s="133"/>
      <c r="D270" s="1"/>
      <c r="E270" s="1"/>
      <c r="F270" s="1"/>
      <c r="G270" s="1"/>
      <c r="H270" s="1"/>
      <c r="I270" s="1"/>
      <c r="J270" s="1"/>
    </row>
    <row r="271" spans="1:10" ht="15">
      <c r="A271" s="7"/>
      <c r="B271" s="10"/>
      <c r="C271" s="133"/>
      <c r="D271" s="1"/>
      <c r="E271" s="1"/>
      <c r="F271" s="1"/>
      <c r="G271" s="1"/>
      <c r="H271" s="1"/>
      <c r="I271" s="1"/>
      <c r="J271" s="1"/>
    </row>
    <row r="272" spans="1:10" ht="15">
      <c r="A272" s="7"/>
      <c r="B272" s="10"/>
      <c r="C272" s="133"/>
      <c r="D272" s="1"/>
      <c r="E272" s="1"/>
      <c r="F272" s="1"/>
      <c r="G272" s="1"/>
      <c r="H272" s="1"/>
      <c r="I272" s="1"/>
      <c r="J272" s="1"/>
    </row>
    <row r="273" spans="1:10" ht="15">
      <c r="A273" s="7"/>
      <c r="B273" s="10"/>
      <c r="C273" s="133"/>
      <c r="D273" s="1"/>
      <c r="E273" s="1"/>
      <c r="F273" s="1"/>
      <c r="G273" s="1"/>
      <c r="H273" s="1"/>
      <c r="I273" s="1"/>
      <c r="J273" s="1"/>
    </row>
    <row r="274" spans="1:10" ht="15">
      <c r="A274" s="7"/>
      <c r="B274" s="10"/>
      <c r="C274" s="133"/>
      <c r="D274" s="1"/>
      <c r="E274" s="1"/>
      <c r="F274" s="1"/>
      <c r="G274" s="1"/>
      <c r="H274" s="1"/>
      <c r="I274" s="1"/>
      <c r="J274" s="1"/>
    </row>
    <row r="275" spans="1:10" ht="15">
      <c r="A275" s="7"/>
      <c r="B275" s="10"/>
      <c r="C275" s="133"/>
      <c r="D275" s="1"/>
      <c r="E275" s="1"/>
      <c r="F275" s="1"/>
      <c r="G275" s="1"/>
      <c r="H275" s="1"/>
      <c r="I275" s="1"/>
      <c r="J275" s="1"/>
    </row>
    <row r="276" spans="1:10" ht="15">
      <c r="A276" s="7"/>
      <c r="B276" s="10"/>
      <c r="C276" s="133"/>
      <c r="D276" s="1"/>
      <c r="E276" s="1"/>
      <c r="F276" s="1"/>
      <c r="G276" s="1"/>
      <c r="H276" s="1"/>
      <c r="I276" s="1"/>
      <c r="J276" s="1"/>
    </row>
    <row r="277" spans="1:10" ht="15">
      <c r="A277" s="7"/>
      <c r="B277" s="10"/>
      <c r="C277" s="133"/>
      <c r="D277" s="1"/>
      <c r="E277" s="1"/>
      <c r="F277" s="1"/>
      <c r="G277" s="1"/>
      <c r="H277" s="1"/>
      <c r="I277" s="1"/>
      <c r="J277" s="1"/>
    </row>
    <row r="278" spans="1:10" ht="15">
      <c r="A278" s="7"/>
      <c r="B278" s="10"/>
      <c r="C278" s="133"/>
      <c r="D278" s="1"/>
      <c r="E278" s="1"/>
      <c r="F278" s="1"/>
      <c r="G278" s="1"/>
      <c r="H278" s="1"/>
      <c r="I278" s="1"/>
      <c r="J278" s="1"/>
    </row>
    <row r="279" spans="1:10" ht="15">
      <c r="A279" s="7"/>
      <c r="B279" s="10"/>
      <c r="C279" s="133"/>
      <c r="D279" s="1"/>
      <c r="E279" s="1"/>
      <c r="F279" s="1"/>
      <c r="G279" s="1"/>
      <c r="H279" s="1"/>
      <c r="I279" s="1"/>
      <c r="J279" s="1"/>
    </row>
    <row r="280" spans="1:10" ht="15">
      <c r="A280" s="7"/>
      <c r="B280" s="10"/>
      <c r="C280" s="133"/>
      <c r="D280" s="1"/>
      <c r="E280" s="1"/>
      <c r="F280" s="1"/>
      <c r="G280" s="1"/>
      <c r="H280" s="1"/>
      <c r="I280" s="1"/>
      <c r="J280" s="1"/>
    </row>
    <row r="281" spans="1:10" ht="15">
      <c r="A281" s="7"/>
      <c r="B281" s="10"/>
      <c r="C281" s="133"/>
      <c r="D281" s="1"/>
      <c r="E281" s="1"/>
      <c r="F281" s="1"/>
      <c r="G281" s="1"/>
      <c r="H281" s="1"/>
      <c r="I281" s="1"/>
      <c r="J281" s="1"/>
    </row>
    <row r="282" spans="1:10" ht="15">
      <c r="A282" s="7"/>
      <c r="B282" s="10"/>
      <c r="C282" s="133"/>
      <c r="D282" s="1"/>
      <c r="E282" s="1"/>
      <c r="F282" s="1"/>
      <c r="G282" s="1"/>
      <c r="H282" s="1"/>
      <c r="I282" s="1"/>
      <c r="J282" s="1"/>
    </row>
    <row r="283" spans="1:10" ht="15">
      <c r="A283" s="7"/>
      <c r="B283" s="10"/>
      <c r="C283" s="133"/>
      <c r="D283" s="1"/>
      <c r="E283" s="1"/>
      <c r="F283" s="1"/>
      <c r="G283" s="1"/>
      <c r="H283" s="1"/>
      <c r="I283" s="1"/>
      <c r="J283" s="1"/>
    </row>
    <row r="284" spans="1:10" ht="15">
      <c r="A284" s="7"/>
      <c r="B284" s="10"/>
      <c r="C284" s="133"/>
      <c r="D284" s="1"/>
      <c r="E284" s="1"/>
      <c r="F284" s="1"/>
      <c r="G284" s="1"/>
      <c r="H284" s="1"/>
      <c r="I284" s="1"/>
      <c r="J284" s="1"/>
    </row>
    <row r="285" spans="1:10" ht="15">
      <c r="A285" s="7"/>
      <c r="B285" s="10"/>
      <c r="C285" s="133"/>
      <c r="D285" s="1"/>
      <c r="E285" s="1"/>
      <c r="F285" s="1"/>
      <c r="G285" s="1"/>
      <c r="H285" s="1"/>
      <c r="I285" s="1"/>
      <c r="J285" s="1"/>
    </row>
    <row r="286" spans="1:10" ht="15">
      <c r="A286" s="7"/>
      <c r="B286" s="10"/>
      <c r="C286" s="133"/>
      <c r="D286" s="1"/>
      <c r="E286" s="1"/>
      <c r="F286" s="1"/>
      <c r="G286" s="1"/>
      <c r="H286" s="1"/>
      <c r="I286" s="1"/>
      <c r="J286" s="1"/>
    </row>
    <row r="287" spans="1:10" ht="15">
      <c r="A287" s="7"/>
      <c r="B287" s="10"/>
      <c r="C287" s="133"/>
      <c r="D287" s="1"/>
      <c r="E287" s="1"/>
      <c r="F287" s="1"/>
      <c r="G287" s="1"/>
      <c r="H287" s="1"/>
      <c r="I287" s="1"/>
      <c r="J287" s="1"/>
    </row>
    <row r="288" spans="1:10" ht="15">
      <c r="A288" s="7"/>
      <c r="B288" s="10"/>
      <c r="C288" s="133"/>
      <c r="D288" s="1"/>
      <c r="E288" s="1"/>
      <c r="F288" s="1"/>
      <c r="G288" s="1"/>
      <c r="H288" s="1"/>
      <c r="I288" s="1"/>
      <c r="J288" s="1"/>
    </row>
    <row r="289" spans="1:10" ht="15">
      <c r="A289" s="7"/>
      <c r="B289" s="10"/>
      <c r="C289" s="133"/>
      <c r="D289" s="1"/>
      <c r="E289" s="1"/>
      <c r="F289" s="1"/>
      <c r="G289" s="1"/>
      <c r="H289" s="1"/>
      <c r="I289" s="1"/>
      <c r="J289" s="1"/>
    </row>
    <row r="290" spans="1:10" ht="15">
      <c r="A290" s="7"/>
      <c r="B290" s="10"/>
      <c r="C290" s="133"/>
      <c r="D290" s="1"/>
      <c r="E290" s="1"/>
      <c r="F290" s="1"/>
      <c r="G290" s="1"/>
      <c r="H290" s="1"/>
      <c r="I290" s="1"/>
      <c r="J290" s="1"/>
    </row>
    <row r="291" spans="1:10" ht="15">
      <c r="A291" s="7"/>
      <c r="B291" s="10"/>
      <c r="C291" s="133"/>
      <c r="D291" s="1"/>
      <c r="E291" s="1"/>
      <c r="F291" s="1"/>
      <c r="G291" s="1"/>
      <c r="H291" s="1"/>
      <c r="I291" s="1"/>
      <c r="J291" s="1"/>
    </row>
    <row r="292" spans="1:10" ht="15">
      <c r="A292" s="7"/>
      <c r="B292" s="10"/>
      <c r="C292" s="133"/>
      <c r="D292" s="1"/>
      <c r="E292" s="1"/>
      <c r="F292" s="1"/>
      <c r="G292" s="1"/>
      <c r="H292" s="1"/>
      <c r="I292" s="1"/>
      <c r="J292" s="1"/>
    </row>
    <row r="293" spans="1:10" ht="15">
      <c r="A293" s="7"/>
      <c r="B293" s="10"/>
      <c r="C293" s="133"/>
      <c r="D293" s="1"/>
      <c r="E293" s="1"/>
      <c r="F293" s="1"/>
      <c r="G293" s="1"/>
      <c r="H293" s="1"/>
      <c r="I293" s="1"/>
      <c r="J293" s="1"/>
    </row>
    <row r="294" spans="1:10" ht="15">
      <c r="A294" s="7"/>
      <c r="B294" s="10"/>
      <c r="C294" s="133"/>
      <c r="D294" s="1"/>
      <c r="E294" s="1"/>
      <c r="F294" s="1"/>
      <c r="G294" s="1"/>
      <c r="H294" s="1"/>
      <c r="I294" s="1"/>
      <c r="J294" s="1"/>
    </row>
    <row r="295" spans="1:10" ht="15">
      <c r="A295" s="7"/>
      <c r="B295" s="10"/>
      <c r="C295" s="133"/>
      <c r="D295" s="1"/>
      <c r="E295" s="1"/>
      <c r="F295" s="1"/>
      <c r="G295" s="1"/>
      <c r="H295" s="1"/>
      <c r="I295" s="1"/>
      <c r="J295" s="1"/>
    </row>
    <row r="296" spans="1:10" ht="15">
      <c r="A296" s="7"/>
      <c r="B296" s="10"/>
      <c r="C296" s="133"/>
      <c r="D296" s="1"/>
      <c r="E296" s="1"/>
      <c r="F296" s="1"/>
      <c r="G296" s="1"/>
      <c r="H296" s="1"/>
      <c r="I296" s="1"/>
      <c r="J296" s="1"/>
    </row>
    <row r="297" spans="1:10" ht="15">
      <c r="A297" s="7"/>
      <c r="B297" s="10"/>
      <c r="C297" s="133"/>
      <c r="D297" s="1"/>
      <c r="E297" s="1"/>
      <c r="F297" s="1"/>
      <c r="G297" s="1"/>
      <c r="H297" s="1"/>
      <c r="I297" s="1"/>
      <c r="J297" s="1"/>
    </row>
    <row r="298" spans="1:10" ht="15">
      <c r="A298" s="7"/>
      <c r="B298" s="10"/>
      <c r="C298" s="133"/>
      <c r="D298" s="1"/>
      <c r="E298" s="1"/>
      <c r="F298" s="1"/>
      <c r="G298" s="1"/>
      <c r="H298" s="1"/>
      <c r="I298" s="1"/>
      <c r="J298" s="1"/>
    </row>
    <row r="299" spans="1:10" ht="15">
      <c r="A299" s="7"/>
      <c r="B299" s="10"/>
      <c r="C299" s="133"/>
      <c r="D299" s="1"/>
      <c r="E299" s="1"/>
      <c r="F299" s="1"/>
      <c r="G299" s="1"/>
      <c r="H299" s="1"/>
      <c r="I299" s="1"/>
      <c r="J299" s="1"/>
    </row>
    <row r="300" spans="1:10" ht="15">
      <c r="A300" s="7"/>
      <c r="B300" s="10"/>
      <c r="C300" s="133"/>
      <c r="D300" s="1"/>
      <c r="E300" s="1"/>
      <c r="F300" s="1"/>
      <c r="G300" s="1"/>
      <c r="H300" s="1"/>
      <c r="I300" s="1"/>
      <c r="J300" s="1"/>
    </row>
    <row r="301" spans="1:10" ht="15">
      <c r="A301" s="7"/>
      <c r="B301" s="10"/>
      <c r="C301" s="133"/>
      <c r="D301" s="1"/>
      <c r="E301" s="1"/>
      <c r="F301" s="1"/>
      <c r="G301" s="1"/>
      <c r="H301" s="1"/>
      <c r="I301" s="1"/>
      <c r="J301" s="1"/>
    </row>
    <row r="302" spans="1:10" ht="15">
      <c r="A302" s="7"/>
      <c r="B302" s="10"/>
      <c r="C302" s="133"/>
      <c r="D302" s="1"/>
      <c r="E302" s="1"/>
      <c r="F302" s="1"/>
      <c r="G302" s="1"/>
      <c r="H302" s="1"/>
      <c r="I302" s="1"/>
      <c r="J302" s="1"/>
    </row>
    <row r="303" spans="1:10" ht="15">
      <c r="A303" s="7"/>
      <c r="B303" s="10"/>
      <c r="C303" s="133"/>
      <c r="D303" s="1"/>
      <c r="E303" s="1"/>
      <c r="F303" s="1"/>
      <c r="G303" s="1"/>
      <c r="H303" s="1"/>
      <c r="I303" s="1"/>
      <c r="J303" s="1"/>
    </row>
    <row r="304" spans="1:10" ht="15">
      <c r="A304" s="7"/>
      <c r="B304" s="10"/>
      <c r="C304" s="133"/>
      <c r="D304" s="1"/>
      <c r="E304" s="1"/>
      <c r="F304" s="1"/>
      <c r="G304" s="1"/>
      <c r="H304" s="1"/>
      <c r="I304" s="1"/>
      <c r="J304" s="1"/>
    </row>
    <row r="305" spans="1:10" ht="15">
      <c r="A305" s="7"/>
      <c r="B305" s="10"/>
      <c r="C305" s="133"/>
      <c r="D305" s="1"/>
      <c r="E305" s="1"/>
      <c r="F305" s="1"/>
      <c r="G305" s="1"/>
      <c r="H305" s="1"/>
      <c r="I305" s="1"/>
      <c r="J305" s="1"/>
    </row>
    <row r="306" spans="1:10" ht="15">
      <c r="A306" s="7"/>
      <c r="B306" s="10"/>
      <c r="C306" s="133"/>
      <c r="D306" s="1"/>
      <c r="E306" s="1"/>
      <c r="F306" s="1"/>
      <c r="G306" s="1"/>
      <c r="H306" s="1"/>
      <c r="I306" s="1"/>
      <c r="J306" s="1"/>
    </row>
    <row r="307" spans="1:10" ht="15">
      <c r="A307" s="7"/>
      <c r="B307" s="10"/>
      <c r="C307" s="133"/>
      <c r="D307" s="1"/>
      <c r="E307" s="1"/>
      <c r="F307" s="1"/>
      <c r="G307" s="1"/>
      <c r="H307" s="1"/>
      <c r="I307" s="1"/>
      <c r="J307" s="1"/>
    </row>
    <row r="308" spans="1:10" ht="15">
      <c r="A308" s="7"/>
      <c r="B308" s="10"/>
      <c r="C308" s="133"/>
      <c r="D308" s="1"/>
      <c r="E308" s="1"/>
      <c r="F308" s="1"/>
      <c r="G308" s="1"/>
      <c r="H308" s="1"/>
      <c r="I308" s="1"/>
      <c r="J308" s="1"/>
    </row>
    <row r="309" spans="1:10" ht="15">
      <c r="A309" s="7"/>
      <c r="B309" s="10"/>
      <c r="C309" s="133"/>
      <c r="D309" s="1"/>
      <c r="E309" s="1"/>
      <c r="F309" s="1"/>
      <c r="G309" s="1"/>
      <c r="H309" s="1"/>
      <c r="I309" s="1"/>
      <c r="J309" s="1"/>
    </row>
    <row r="310" spans="1:10" ht="15">
      <c r="A310" s="7"/>
      <c r="B310" s="10"/>
      <c r="C310" s="133"/>
      <c r="D310" s="1"/>
      <c r="E310" s="1"/>
      <c r="F310" s="1"/>
      <c r="G310" s="1"/>
      <c r="H310" s="1"/>
      <c r="I310" s="1"/>
      <c r="J310" s="1"/>
    </row>
    <row r="311" spans="1:10" ht="15">
      <c r="A311" s="7"/>
      <c r="B311" s="10"/>
      <c r="C311" s="133"/>
      <c r="D311" s="1"/>
      <c r="E311" s="1"/>
      <c r="F311" s="1"/>
      <c r="G311" s="1"/>
      <c r="H311" s="1"/>
      <c r="I311" s="1"/>
      <c r="J311" s="1"/>
    </row>
    <row r="312" spans="1:10" ht="15">
      <c r="A312" s="7"/>
      <c r="B312" s="10"/>
      <c r="C312" s="133"/>
      <c r="D312" s="1"/>
      <c r="E312" s="1"/>
      <c r="F312" s="1"/>
      <c r="G312" s="1"/>
      <c r="H312" s="1"/>
      <c r="I312" s="1"/>
      <c r="J312" s="1"/>
    </row>
    <row r="313" spans="1:10" ht="15">
      <c r="A313" s="7"/>
      <c r="B313" s="10"/>
      <c r="C313" s="133"/>
      <c r="D313" s="1"/>
      <c r="E313" s="1"/>
      <c r="F313" s="1"/>
      <c r="G313" s="1"/>
      <c r="H313" s="1"/>
      <c r="I313" s="1"/>
      <c r="J313" s="1"/>
    </row>
    <row r="314" spans="1:10" ht="15">
      <c r="A314" s="7"/>
      <c r="B314" s="10"/>
      <c r="C314" s="133"/>
      <c r="D314" s="1"/>
      <c r="E314" s="1"/>
      <c r="F314" s="1"/>
      <c r="G314" s="1"/>
      <c r="H314" s="1"/>
      <c r="I314" s="1"/>
      <c r="J314" s="1"/>
    </row>
    <row r="315" spans="1:10" ht="15">
      <c r="A315" s="7"/>
      <c r="B315" s="10"/>
      <c r="C315" s="133"/>
      <c r="D315" s="1"/>
      <c r="E315" s="1"/>
      <c r="F315" s="1"/>
      <c r="G315" s="1"/>
      <c r="H315" s="1"/>
      <c r="I315" s="1"/>
      <c r="J315" s="1"/>
    </row>
    <row r="316" spans="1:10" ht="15">
      <c r="A316" s="7"/>
      <c r="B316" s="10"/>
      <c r="C316" s="133"/>
      <c r="D316" s="1"/>
      <c r="E316" s="1"/>
      <c r="F316" s="1"/>
      <c r="G316" s="1"/>
      <c r="H316" s="1"/>
      <c r="I316" s="1"/>
      <c r="J316" s="1"/>
    </row>
    <row r="317" spans="1:10" ht="15">
      <c r="A317" s="7"/>
      <c r="B317" s="10"/>
      <c r="C317" s="133"/>
      <c r="D317" s="1"/>
      <c r="E317" s="1"/>
      <c r="F317" s="1"/>
      <c r="G317" s="1"/>
      <c r="H317" s="1"/>
      <c r="I317" s="1"/>
      <c r="J317" s="1"/>
    </row>
    <row r="318" spans="1:10" ht="15">
      <c r="A318" s="7"/>
      <c r="B318" s="10"/>
      <c r="C318" s="133"/>
      <c r="D318" s="1"/>
      <c r="E318" s="1"/>
      <c r="F318" s="1"/>
      <c r="G318" s="1"/>
      <c r="H318" s="1"/>
      <c r="I318" s="1"/>
      <c r="J318" s="1"/>
    </row>
    <row r="319" spans="1:10" ht="15">
      <c r="A319" s="7"/>
      <c r="B319" s="10"/>
      <c r="C319" s="133"/>
      <c r="D319" s="1"/>
      <c r="E319" s="1"/>
      <c r="F319" s="1"/>
      <c r="G319" s="1"/>
      <c r="H319" s="1"/>
      <c r="I319" s="1"/>
      <c r="J319" s="1"/>
    </row>
    <row r="320" spans="1:10" ht="15">
      <c r="A320" s="7"/>
      <c r="B320" s="10"/>
      <c r="C320" s="133"/>
      <c r="D320" s="1"/>
      <c r="E320" s="1"/>
      <c r="F320" s="1"/>
      <c r="G320" s="1"/>
      <c r="H320" s="1"/>
      <c r="I320" s="1"/>
      <c r="J320" s="1"/>
    </row>
    <row r="321" spans="1:10" ht="15">
      <c r="A321" s="7"/>
      <c r="B321" s="10"/>
      <c r="C321" s="133"/>
      <c r="D321" s="1"/>
      <c r="E321" s="1"/>
      <c r="F321" s="1"/>
      <c r="G321" s="1"/>
      <c r="H321" s="1"/>
      <c r="I321" s="1"/>
      <c r="J321" s="1"/>
    </row>
    <row r="322" spans="1:10" ht="15">
      <c r="A322" s="7"/>
      <c r="B322" s="10"/>
      <c r="C322" s="133"/>
      <c r="D322" s="1"/>
      <c r="E322" s="1"/>
      <c r="F322" s="1"/>
      <c r="G322" s="1"/>
      <c r="H322" s="1"/>
      <c r="I322" s="1"/>
      <c r="J322" s="1"/>
    </row>
    <row r="323" spans="1:10" ht="15">
      <c r="A323" s="7"/>
      <c r="B323" s="10"/>
      <c r="C323" s="133"/>
      <c r="D323" s="1"/>
      <c r="E323" s="1"/>
      <c r="F323" s="1"/>
      <c r="G323" s="1"/>
      <c r="H323" s="1"/>
      <c r="I323" s="1"/>
      <c r="J323" s="1"/>
    </row>
    <row r="324" spans="1:10" ht="15">
      <c r="A324" s="7"/>
      <c r="B324" s="10"/>
      <c r="C324" s="133"/>
      <c r="D324" s="1"/>
      <c r="E324" s="1"/>
      <c r="F324" s="1"/>
      <c r="G324" s="1"/>
      <c r="H324" s="1"/>
      <c r="I324" s="1"/>
      <c r="J324" s="1"/>
    </row>
    <row r="325" spans="1:10" ht="15">
      <c r="A325" s="7"/>
      <c r="B325" s="10"/>
      <c r="C325" s="133"/>
      <c r="D325" s="1"/>
      <c r="E325" s="1"/>
      <c r="F325" s="1"/>
      <c r="G325" s="1"/>
      <c r="H325" s="1"/>
      <c r="I325" s="1"/>
      <c r="J325" s="1"/>
    </row>
    <row r="326" spans="1:10" ht="15">
      <c r="A326" s="7"/>
      <c r="B326" s="10"/>
      <c r="C326" s="133"/>
      <c r="D326" s="1"/>
      <c r="E326" s="1"/>
      <c r="F326" s="1"/>
      <c r="G326" s="1"/>
      <c r="H326" s="1"/>
      <c r="I326" s="1"/>
      <c r="J326" s="1"/>
    </row>
    <row r="327" spans="1:10" ht="15">
      <c r="A327" s="7"/>
      <c r="B327" s="10"/>
      <c r="C327" s="133"/>
      <c r="D327" s="1"/>
      <c r="E327" s="1"/>
      <c r="F327" s="1"/>
      <c r="G327" s="1"/>
      <c r="H327" s="1"/>
      <c r="I327" s="1"/>
      <c r="J327" s="1"/>
    </row>
    <row r="328" spans="1:10" ht="15">
      <c r="A328" s="7"/>
      <c r="B328" s="10"/>
      <c r="C328" s="133"/>
      <c r="D328" s="1"/>
      <c r="E328" s="1"/>
      <c r="F328" s="1"/>
      <c r="G328" s="1"/>
      <c r="H328" s="1"/>
      <c r="I328" s="1"/>
      <c r="J328" s="1"/>
    </row>
    <row r="329" spans="1:10" ht="15">
      <c r="A329" s="7"/>
      <c r="B329" s="10"/>
      <c r="C329" s="133"/>
      <c r="D329" s="1"/>
      <c r="E329" s="1"/>
      <c r="F329" s="1"/>
      <c r="G329" s="1"/>
      <c r="H329" s="1"/>
      <c r="I329" s="1"/>
      <c r="J329" s="1"/>
    </row>
    <row r="330" spans="1:10" ht="15">
      <c r="A330" s="7"/>
      <c r="B330" s="10"/>
      <c r="C330" s="133"/>
      <c r="D330" s="1"/>
      <c r="E330" s="1"/>
      <c r="F330" s="1"/>
      <c r="G330" s="1"/>
      <c r="H330" s="1"/>
      <c r="I330" s="1"/>
      <c r="J330" s="1"/>
    </row>
    <row r="331" spans="1:10" ht="15">
      <c r="A331" s="7"/>
      <c r="B331" s="10"/>
      <c r="C331" s="133"/>
      <c r="D331" s="1"/>
      <c r="E331" s="1"/>
      <c r="F331" s="1"/>
      <c r="G331" s="1"/>
      <c r="H331" s="1"/>
      <c r="I331" s="1"/>
      <c r="J331" s="1"/>
    </row>
    <row r="332" spans="1:10" ht="15">
      <c r="A332" s="7"/>
      <c r="B332" s="10"/>
      <c r="C332" s="133"/>
      <c r="D332" s="1"/>
      <c r="E332" s="1"/>
      <c r="F332" s="1"/>
      <c r="G332" s="1"/>
      <c r="H332" s="1"/>
      <c r="I332" s="1"/>
      <c r="J332" s="1"/>
    </row>
    <row r="333" spans="1:10" ht="15">
      <c r="A333" s="7"/>
      <c r="B333" s="10"/>
      <c r="C333" s="133"/>
      <c r="D333" s="1"/>
      <c r="E333" s="1"/>
      <c r="F333" s="1"/>
      <c r="G333" s="1"/>
      <c r="H333" s="1"/>
      <c r="I333" s="1"/>
      <c r="J333" s="1"/>
    </row>
    <row r="334" spans="1:10" ht="15">
      <c r="A334" s="7"/>
      <c r="B334" s="10"/>
      <c r="C334" s="133"/>
      <c r="D334" s="1"/>
      <c r="E334" s="1"/>
      <c r="F334" s="1"/>
      <c r="G334" s="1"/>
      <c r="H334" s="1"/>
      <c r="I334" s="1"/>
      <c r="J334" s="1"/>
    </row>
    <row r="335" spans="1:10" ht="15">
      <c r="A335" s="7"/>
      <c r="B335" s="10"/>
      <c r="C335" s="133"/>
      <c r="D335" s="1"/>
      <c r="E335" s="1"/>
      <c r="F335" s="1"/>
      <c r="G335" s="1"/>
      <c r="H335" s="1"/>
      <c r="I335" s="1"/>
      <c r="J335" s="1"/>
    </row>
    <row r="336" spans="1:10" ht="15">
      <c r="A336" s="7"/>
      <c r="B336" s="10"/>
      <c r="C336" s="133"/>
      <c r="D336" s="1"/>
      <c r="E336" s="1"/>
      <c r="F336" s="1"/>
      <c r="G336" s="1"/>
      <c r="H336" s="1"/>
      <c r="I336" s="1"/>
      <c r="J336" s="1"/>
    </row>
    <row r="337" spans="1:10" ht="15">
      <c r="A337" s="7"/>
      <c r="B337" s="10"/>
      <c r="C337" s="133"/>
      <c r="D337" s="1"/>
      <c r="E337" s="1"/>
      <c r="F337" s="1"/>
      <c r="G337" s="1"/>
      <c r="H337" s="1"/>
      <c r="I337" s="1"/>
      <c r="J337" s="1"/>
    </row>
    <row r="338" spans="1:10" ht="15">
      <c r="A338" s="7"/>
      <c r="B338" s="10"/>
      <c r="C338" s="133"/>
      <c r="D338" s="1"/>
      <c r="E338" s="1"/>
      <c r="F338" s="1"/>
      <c r="G338" s="1"/>
      <c r="H338" s="1"/>
      <c r="I338" s="1"/>
      <c r="J338" s="1"/>
    </row>
    <row r="339" spans="1:10" ht="15">
      <c r="A339" s="7"/>
      <c r="B339" s="10"/>
      <c r="C339" s="133"/>
      <c r="D339" s="1"/>
      <c r="E339" s="1"/>
      <c r="F339" s="1"/>
      <c r="G339" s="1"/>
      <c r="H339" s="1"/>
      <c r="I339" s="1"/>
      <c r="J339" s="1"/>
    </row>
    <row r="340" spans="1:10" ht="15">
      <c r="A340" s="7"/>
      <c r="B340" s="10"/>
      <c r="C340" s="133"/>
      <c r="D340" s="1"/>
      <c r="E340" s="1"/>
      <c r="F340" s="1"/>
      <c r="G340" s="1"/>
      <c r="H340" s="1"/>
      <c r="I340" s="1"/>
      <c r="J340" s="1"/>
    </row>
    <row r="341" spans="1:10" ht="15">
      <c r="A341" s="7"/>
      <c r="B341" s="10"/>
      <c r="C341" s="133"/>
      <c r="D341" s="1"/>
      <c r="E341" s="1"/>
      <c r="F341" s="1"/>
      <c r="G341" s="1"/>
      <c r="H341" s="1"/>
      <c r="I341" s="1"/>
      <c r="J341" s="1"/>
    </row>
    <row r="342" spans="1:10" ht="15">
      <c r="A342" s="7"/>
      <c r="B342" s="10"/>
      <c r="C342" s="133"/>
      <c r="D342" s="1"/>
      <c r="E342" s="1"/>
      <c r="F342" s="1"/>
      <c r="G342" s="1"/>
      <c r="H342" s="1"/>
      <c r="I342" s="1"/>
      <c r="J342" s="1"/>
    </row>
    <row r="343" spans="1:10" ht="15">
      <c r="A343" s="7"/>
      <c r="B343" s="10"/>
      <c r="C343" s="133"/>
      <c r="D343" s="1"/>
      <c r="E343" s="1"/>
      <c r="F343" s="1"/>
      <c r="G343" s="1"/>
      <c r="H343" s="1"/>
      <c r="I343" s="1"/>
      <c r="J343" s="1"/>
    </row>
    <row r="344" spans="1:10" ht="15">
      <c r="A344" s="7"/>
      <c r="B344" s="10"/>
      <c r="C344" s="133"/>
      <c r="D344" s="1"/>
      <c r="E344" s="1"/>
      <c r="F344" s="1"/>
      <c r="G344" s="1"/>
      <c r="H344" s="1"/>
      <c r="I344" s="1"/>
      <c r="J344" s="1"/>
    </row>
    <row r="345" spans="1:10" ht="15">
      <c r="A345" s="7"/>
      <c r="B345" s="10"/>
      <c r="C345" s="133"/>
      <c r="D345" s="1"/>
      <c r="E345" s="1"/>
      <c r="F345" s="1"/>
      <c r="G345" s="1"/>
      <c r="H345" s="1"/>
      <c r="I345" s="1"/>
      <c r="J345" s="1"/>
    </row>
    <row r="346" spans="1:10" ht="15">
      <c r="A346" s="7"/>
      <c r="B346" s="10"/>
      <c r="C346" s="133"/>
      <c r="D346" s="1"/>
      <c r="E346" s="1"/>
      <c r="F346" s="1"/>
      <c r="G346" s="1"/>
      <c r="H346" s="1"/>
      <c r="I346" s="1"/>
      <c r="J346" s="1"/>
    </row>
    <row r="347" spans="1:10" ht="15">
      <c r="A347" s="7"/>
      <c r="B347" s="10"/>
      <c r="C347" s="133"/>
      <c r="D347" s="1"/>
      <c r="E347" s="1"/>
      <c r="F347" s="1"/>
      <c r="G347" s="1"/>
      <c r="H347" s="1"/>
      <c r="I347" s="1"/>
      <c r="J347" s="1"/>
    </row>
    <row r="348" spans="1:10" ht="15">
      <c r="A348" s="7"/>
      <c r="B348" s="10"/>
      <c r="C348" s="133"/>
      <c r="D348" s="1"/>
      <c r="E348" s="1"/>
      <c r="F348" s="1"/>
      <c r="G348" s="1"/>
      <c r="H348" s="1"/>
      <c r="I348" s="1"/>
      <c r="J348" s="1"/>
    </row>
    <row r="349" spans="1:10" ht="15">
      <c r="A349" s="7"/>
      <c r="B349" s="10"/>
      <c r="C349" s="133"/>
      <c r="D349" s="1"/>
      <c r="E349" s="1"/>
      <c r="F349" s="1"/>
      <c r="G349" s="1"/>
      <c r="H349" s="1"/>
      <c r="I349" s="1"/>
      <c r="J349" s="1"/>
    </row>
    <row r="350" spans="1:10" ht="15">
      <c r="A350" s="7"/>
      <c r="B350" s="10"/>
      <c r="C350" s="133"/>
      <c r="D350" s="1"/>
      <c r="E350" s="1"/>
      <c r="F350" s="1"/>
      <c r="G350" s="1"/>
      <c r="H350" s="1"/>
      <c r="I350" s="1"/>
      <c r="J350" s="1"/>
    </row>
    <row r="351" spans="1:10" ht="15">
      <c r="A351" s="7"/>
      <c r="B351" s="10"/>
      <c r="C351" s="133"/>
      <c r="D351" s="1"/>
      <c r="E351" s="1"/>
      <c r="F351" s="1"/>
      <c r="G351" s="1"/>
      <c r="H351" s="1"/>
      <c r="I351" s="1"/>
      <c r="J351" s="1"/>
    </row>
    <row r="352" spans="1:10" ht="15">
      <c r="A352" s="7"/>
      <c r="B352" s="10"/>
      <c r="C352" s="133"/>
      <c r="D352" s="1"/>
      <c r="E352" s="1"/>
      <c r="F352" s="1"/>
      <c r="G352" s="1"/>
      <c r="H352" s="1"/>
      <c r="I352" s="1"/>
      <c r="J352" s="1"/>
    </row>
    <row r="353" spans="1:10" ht="15">
      <c r="A353" s="7"/>
      <c r="B353" s="10"/>
      <c r="C353" s="133"/>
      <c r="D353" s="1"/>
      <c r="E353" s="1"/>
      <c r="F353" s="1"/>
      <c r="G353" s="1"/>
      <c r="H353" s="1"/>
      <c r="I353" s="1"/>
      <c r="J353" s="1"/>
    </row>
    <row r="354" spans="1:10" ht="15">
      <c r="A354" s="7"/>
      <c r="B354" s="10"/>
      <c r="C354" s="133"/>
      <c r="D354" s="1"/>
      <c r="E354" s="1"/>
      <c r="F354" s="1"/>
      <c r="G354" s="1"/>
      <c r="H354" s="1"/>
      <c r="I354" s="1"/>
      <c r="J354" s="1"/>
    </row>
    <row r="355" spans="1:10" ht="15">
      <c r="A355" s="7"/>
      <c r="B355" s="10"/>
      <c r="C355" s="133"/>
      <c r="D355" s="1"/>
      <c r="E355" s="1"/>
      <c r="F355" s="1"/>
      <c r="G355" s="1"/>
      <c r="H355" s="1"/>
      <c r="I355" s="1"/>
      <c r="J355" s="1"/>
    </row>
    <row r="356" spans="1:10" ht="15">
      <c r="A356" s="7"/>
      <c r="B356" s="10"/>
      <c r="C356" s="133"/>
      <c r="D356" s="1"/>
      <c r="E356" s="1"/>
      <c r="F356" s="1"/>
      <c r="G356" s="1"/>
      <c r="H356" s="1"/>
      <c r="I356" s="1"/>
      <c r="J356" s="1"/>
    </row>
    <row r="357" spans="1:10" ht="15">
      <c r="A357" s="7"/>
      <c r="B357" s="10"/>
      <c r="C357" s="133"/>
      <c r="D357" s="1"/>
      <c r="E357" s="1"/>
      <c r="F357" s="1"/>
      <c r="G357" s="1"/>
      <c r="H357" s="1"/>
      <c r="I357" s="1"/>
      <c r="J357" s="1"/>
    </row>
    <row r="358" spans="1:10" ht="15">
      <c r="A358" s="7"/>
      <c r="B358" s="10"/>
      <c r="C358" s="133"/>
      <c r="D358" s="1"/>
      <c r="E358" s="1"/>
      <c r="F358" s="1"/>
      <c r="G358" s="1"/>
      <c r="H358" s="1"/>
      <c r="I358" s="1"/>
      <c r="J358" s="1"/>
    </row>
    <row r="359" spans="1:10" ht="15">
      <c r="A359" s="7"/>
      <c r="B359" s="10"/>
      <c r="C359" s="133"/>
      <c r="D359" s="1"/>
      <c r="E359" s="1"/>
      <c r="F359" s="1"/>
      <c r="G359" s="1"/>
      <c r="H359" s="1"/>
      <c r="I359" s="1"/>
      <c r="J359" s="1"/>
    </row>
    <row r="360" spans="1:10" ht="15">
      <c r="A360" s="7"/>
      <c r="B360" s="10"/>
      <c r="C360" s="133"/>
      <c r="D360" s="1"/>
      <c r="E360" s="1"/>
      <c r="F360" s="1"/>
      <c r="G360" s="1"/>
      <c r="H360" s="1"/>
      <c r="I360" s="1"/>
      <c r="J360" s="1"/>
    </row>
    <row r="361" spans="1:10" ht="15">
      <c r="A361" s="7"/>
      <c r="B361" s="10"/>
      <c r="C361" s="133"/>
      <c r="D361" s="1"/>
      <c r="E361" s="1"/>
      <c r="F361" s="1"/>
      <c r="G361" s="1"/>
      <c r="H361" s="1"/>
      <c r="I361" s="1"/>
      <c r="J361" s="1"/>
    </row>
    <row r="362" spans="1:10" ht="15">
      <c r="A362" s="7"/>
      <c r="B362" s="10"/>
      <c r="C362" s="133"/>
      <c r="D362" s="1"/>
      <c r="E362" s="1"/>
      <c r="F362" s="1"/>
      <c r="G362" s="1"/>
      <c r="H362" s="1"/>
      <c r="I362" s="1"/>
      <c r="J362" s="1"/>
    </row>
    <row r="363" spans="1:10" ht="15">
      <c r="A363" s="7"/>
      <c r="B363" s="10"/>
      <c r="C363" s="133"/>
      <c r="D363" s="1"/>
      <c r="E363" s="1"/>
      <c r="F363" s="1"/>
      <c r="G363" s="1"/>
      <c r="H363" s="1"/>
      <c r="I363" s="1"/>
      <c r="J363" s="1"/>
    </row>
    <row r="364" spans="1:10" ht="15">
      <c r="A364" s="7"/>
      <c r="B364" s="10"/>
      <c r="C364" s="133"/>
      <c r="D364" s="1"/>
      <c r="E364" s="1"/>
      <c r="F364" s="1"/>
      <c r="G364" s="1"/>
      <c r="H364" s="1"/>
      <c r="I364" s="1"/>
      <c r="J364" s="1"/>
    </row>
    <row r="365" spans="1:10" ht="15">
      <c r="A365" s="7"/>
      <c r="B365" s="10"/>
      <c r="C365" s="133"/>
      <c r="D365" s="1"/>
      <c r="E365" s="1"/>
      <c r="F365" s="1"/>
      <c r="G365" s="1"/>
      <c r="H365" s="1"/>
      <c r="I365" s="1"/>
      <c r="J365" s="1"/>
    </row>
    <row r="366" spans="1:10" ht="15">
      <c r="A366" s="7"/>
      <c r="B366" s="10"/>
      <c r="C366" s="133"/>
      <c r="D366" s="1"/>
      <c r="E366" s="1"/>
      <c r="F366" s="1"/>
      <c r="G366" s="1"/>
      <c r="H366" s="1"/>
      <c r="I366" s="1"/>
      <c r="J366" s="1"/>
    </row>
    <row r="367" spans="1:10" ht="15">
      <c r="A367" s="7"/>
      <c r="B367" s="10"/>
      <c r="C367" s="133"/>
      <c r="D367" s="1"/>
      <c r="E367" s="1"/>
      <c r="F367" s="1"/>
      <c r="G367" s="1"/>
      <c r="H367" s="1"/>
      <c r="I367" s="1"/>
      <c r="J367" s="1"/>
    </row>
    <row r="368" spans="1:10" ht="15">
      <c r="A368" s="7"/>
      <c r="B368" s="10"/>
      <c r="C368" s="133"/>
      <c r="D368" s="1"/>
      <c r="E368" s="1"/>
      <c r="F368" s="1"/>
      <c r="G368" s="1"/>
      <c r="H368" s="1"/>
      <c r="I368" s="1"/>
      <c r="J368" s="1"/>
    </row>
    <row r="369" spans="1:10" ht="15">
      <c r="A369" s="7"/>
      <c r="B369" s="10"/>
      <c r="C369" s="133"/>
      <c r="D369" s="1"/>
      <c r="E369" s="1"/>
      <c r="F369" s="1"/>
      <c r="G369" s="1"/>
      <c r="H369" s="1"/>
      <c r="I369" s="1"/>
      <c r="J369" s="1"/>
    </row>
    <row r="370" spans="1:10" ht="15">
      <c r="A370" s="7"/>
      <c r="B370" s="10"/>
      <c r="C370" s="133"/>
      <c r="D370" s="1"/>
      <c r="E370" s="1"/>
      <c r="F370" s="1"/>
      <c r="G370" s="1"/>
      <c r="H370" s="1"/>
      <c r="I370" s="1"/>
      <c r="J370" s="1"/>
    </row>
    <row r="371" spans="1:10" ht="15">
      <c r="A371" s="7"/>
      <c r="B371" s="10"/>
      <c r="C371" s="133"/>
      <c r="D371" s="1"/>
      <c r="E371" s="1"/>
      <c r="F371" s="1"/>
      <c r="G371" s="1"/>
      <c r="H371" s="1"/>
      <c r="I371" s="1"/>
      <c r="J371" s="1"/>
    </row>
    <row r="372" spans="1:10" ht="15">
      <c r="A372" s="7"/>
      <c r="B372" s="10"/>
      <c r="C372" s="133"/>
      <c r="D372" s="1"/>
      <c r="E372" s="1"/>
      <c r="F372" s="1"/>
      <c r="G372" s="1"/>
      <c r="H372" s="1"/>
      <c r="I372" s="1"/>
      <c r="J372" s="1"/>
    </row>
    <row r="373" spans="1:10" ht="15">
      <c r="A373" s="7"/>
      <c r="B373" s="10"/>
      <c r="C373" s="133"/>
      <c r="D373" s="1"/>
      <c r="E373" s="1"/>
      <c r="F373" s="1"/>
      <c r="G373" s="1"/>
      <c r="H373" s="1"/>
      <c r="I373" s="1"/>
      <c r="J373" s="1"/>
    </row>
    <row r="374" spans="1:10" ht="15">
      <c r="A374" s="7"/>
      <c r="B374" s="10"/>
      <c r="C374" s="133"/>
      <c r="D374" s="1"/>
      <c r="E374" s="1"/>
      <c r="F374" s="1"/>
      <c r="G374" s="1"/>
      <c r="H374" s="1"/>
      <c r="I374" s="1"/>
      <c r="J374" s="1"/>
    </row>
    <row r="375" spans="1:10" ht="15">
      <c r="A375" s="7"/>
      <c r="B375" s="10"/>
      <c r="C375" s="133"/>
      <c r="D375" s="1"/>
      <c r="E375" s="1"/>
      <c r="F375" s="1"/>
      <c r="G375" s="1"/>
      <c r="H375" s="1"/>
      <c r="I375" s="1"/>
      <c r="J375" s="1"/>
    </row>
    <row r="376" spans="1:10" ht="15">
      <c r="A376" s="7"/>
      <c r="B376" s="10"/>
      <c r="C376" s="133"/>
      <c r="D376" s="1"/>
      <c r="E376" s="1"/>
      <c r="F376" s="1"/>
      <c r="G376" s="1"/>
      <c r="H376" s="1"/>
      <c r="I376" s="1"/>
      <c r="J376" s="1"/>
    </row>
    <row r="377" spans="1:10" ht="15">
      <c r="A377" s="7"/>
      <c r="B377" s="10"/>
      <c r="C377" s="133"/>
      <c r="D377" s="1"/>
      <c r="E377" s="1"/>
      <c r="F377" s="1"/>
      <c r="G377" s="1"/>
      <c r="H377" s="1"/>
      <c r="I377" s="1"/>
      <c r="J377" s="1"/>
    </row>
    <row r="378" spans="1:10" ht="15">
      <c r="A378" s="7"/>
      <c r="B378" s="10"/>
      <c r="C378" s="133"/>
      <c r="D378" s="1"/>
      <c r="E378" s="1"/>
      <c r="F378" s="1"/>
      <c r="G378" s="1"/>
      <c r="H378" s="1"/>
      <c r="I378" s="1"/>
      <c r="J378" s="1"/>
    </row>
    <row r="379" spans="1:10" ht="15">
      <c r="A379" s="7"/>
      <c r="B379" s="10"/>
      <c r="C379" s="133"/>
      <c r="D379" s="1"/>
      <c r="E379" s="1"/>
      <c r="F379" s="1"/>
      <c r="G379" s="1"/>
      <c r="H379" s="1"/>
      <c r="I379" s="1"/>
      <c r="J379" s="1"/>
    </row>
    <row r="380" spans="1:10" ht="15">
      <c r="A380" s="7"/>
      <c r="B380" s="10"/>
      <c r="C380" s="133"/>
      <c r="D380" s="1"/>
      <c r="E380" s="1"/>
      <c r="F380" s="1"/>
      <c r="G380" s="1"/>
      <c r="H380" s="1"/>
      <c r="I380" s="1"/>
      <c r="J380" s="1"/>
    </row>
    <row r="381" spans="1:10" ht="15">
      <c r="A381" s="7"/>
      <c r="B381" s="10"/>
      <c r="C381" s="133"/>
      <c r="D381" s="1"/>
      <c r="E381" s="1"/>
      <c r="F381" s="1"/>
      <c r="G381" s="1"/>
      <c r="H381" s="1"/>
      <c r="I381" s="1"/>
      <c r="J381" s="1"/>
    </row>
    <row r="382" spans="1:10" ht="15">
      <c r="A382" s="7"/>
      <c r="B382" s="10"/>
      <c r="C382" s="133"/>
      <c r="D382" s="1"/>
      <c r="E382" s="1"/>
      <c r="F382" s="1"/>
      <c r="G382" s="1"/>
      <c r="H382" s="1"/>
      <c r="I382" s="1"/>
      <c r="J382" s="1"/>
    </row>
    <row r="383" spans="1:10" ht="15">
      <c r="A383" s="7"/>
      <c r="B383" s="10"/>
      <c r="C383" s="133"/>
      <c r="D383" s="1"/>
      <c r="E383" s="1"/>
      <c r="F383" s="1"/>
      <c r="G383" s="1"/>
      <c r="H383" s="1"/>
      <c r="I383" s="1"/>
      <c r="J383" s="1"/>
    </row>
    <row r="384" spans="1:10" ht="15">
      <c r="A384" s="7"/>
      <c r="B384" s="10"/>
      <c r="C384" s="133"/>
      <c r="D384" s="1"/>
      <c r="E384" s="1"/>
      <c r="F384" s="1"/>
      <c r="G384" s="1"/>
      <c r="H384" s="1"/>
      <c r="I384" s="1"/>
      <c r="J384" s="1"/>
    </row>
    <row r="385" spans="1:10" ht="15">
      <c r="A385" s="7"/>
      <c r="B385" s="10"/>
      <c r="C385" s="133"/>
      <c r="D385" s="1"/>
      <c r="E385" s="1"/>
      <c r="F385" s="1"/>
      <c r="G385" s="1"/>
      <c r="H385" s="1"/>
      <c r="I385" s="1"/>
      <c r="J385" s="1"/>
    </row>
    <row r="386" spans="1:10" ht="15">
      <c r="A386" s="7"/>
      <c r="B386" s="10"/>
      <c r="C386" s="133"/>
      <c r="D386" s="1"/>
      <c r="E386" s="1"/>
      <c r="F386" s="1"/>
      <c r="G386" s="1"/>
      <c r="H386" s="1"/>
      <c r="I386" s="1"/>
      <c r="J386" s="1"/>
    </row>
    <row r="387" spans="1:10" ht="15">
      <c r="A387" s="7"/>
      <c r="B387" s="10"/>
      <c r="C387" s="133"/>
      <c r="D387" s="1"/>
      <c r="E387" s="1"/>
      <c r="F387" s="1"/>
      <c r="G387" s="1"/>
      <c r="H387" s="1"/>
      <c r="I387" s="1"/>
      <c r="J387" s="1"/>
    </row>
    <row r="388" spans="1:10" ht="15">
      <c r="A388" s="7"/>
      <c r="B388" s="10"/>
      <c r="C388" s="133"/>
      <c r="D388" s="1"/>
      <c r="E388" s="1"/>
      <c r="F388" s="1"/>
      <c r="G388" s="1"/>
      <c r="H388" s="1"/>
      <c r="I388" s="1"/>
      <c r="J388" s="1"/>
    </row>
    <row r="389" spans="1:10" ht="15">
      <c r="A389" s="7"/>
      <c r="B389" s="10"/>
      <c r="C389" s="133"/>
      <c r="D389" s="1"/>
      <c r="E389" s="1"/>
      <c r="F389" s="1"/>
      <c r="G389" s="1"/>
      <c r="H389" s="1"/>
      <c r="I389" s="1"/>
      <c r="J389" s="1"/>
    </row>
    <row r="390" spans="1:10" ht="15">
      <c r="A390" s="7"/>
      <c r="B390" s="10"/>
      <c r="C390" s="133"/>
      <c r="D390" s="1"/>
      <c r="E390" s="1"/>
      <c r="F390" s="1"/>
      <c r="G390" s="1"/>
      <c r="H390" s="1"/>
      <c r="I390" s="1"/>
      <c r="J390" s="1"/>
    </row>
    <row r="391" spans="1:10" ht="15">
      <c r="A391" s="7"/>
      <c r="B391" s="10"/>
      <c r="C391" s="133"/>
      <c r="D391" s="1"/>
      <c r="E391" s="1"/>
      <c r="F391" s="1"/>
      <c r="G391" s="1"/>
      <c r="H391" s="1"/>
      <c r="I391" s="1"/>
      <c r="J391" s="1"/>
    </row>
    <row r="392" spans="1:10" ht="15">
      <c r="A392" s="7"/>
      <c r="B392" s="10"/>
      <c r="C392" s="133"/>
      <c r="D392" s="1"/>
      <c r="E392" s="1"/>
      <c r="F392" s="1"/>
      <c r="G392" s="1"/>
      <c r="H392" s="1"/>
      <c r="I392" s="1"/>
      <c r="J392" s="1"/>
    </row>
    <row r="393" spans="1:10" ht="15">
      <c r="A393" s="7"/>
      <c r="B393" s="10"/>
      <c r="C393" s="133"/>
      <c r="D393" s="1"/>
      <c r="E393" s="1"/>
      <c r="F393" s="1"/>
      <c r="G393" s="1"/>
      <c r="H393" s="1"/>
      <c r="I393" s="1"/>
      <c r="J393" s="1"/>
    </row>
    <row r="394" spans="1:10" ht="15">
      <c r="A394" s="7"/>
      <c r="B394" s="10"/>
      <c r="C394" s="133"/>
      <c r="D394" s="1"/>
      <c r="E394" s="1"/>
      <c r="F394" s="1"/>
      <c r="G394" s="1"/>
      <c r="H394" s="1"/>
      <c r="I394" s="1"/>
      <c r="J394" s="1"/>
    </row>
    <row r="395" spans="1:10" ht="15">
      <c r="A395" s="7"/>
      <c r="B395" s="10"/>
      <c r="C395" s="133"/>
      <c r="D395" s="1"/>
      <c r="E395" s="1"/>
      <c r="F395" s="1"/>
      <c r="G395" s="1"/>
      <c r="H395" s="1"/>
      <c r="I395" s="1"/>
      <c r="J395" s="1"/>
    </row>
    <row r="396" spans="1:10" ht="15">
      <c r="A396" s="7"/>
      <c r="B396" s="10"/>
      <c r="C396" s="133"/>
      <c r="D396" s="1"/>
      <c r="E396" s="1"/>
      <c r="F396" s="1"/>
      <c r="G396" s="1"/>
      <c r="H396" s="1"/>
      <c r="I396" s="1"/>
      <c r="J396" s="1"/>
    </row>
    <row r="397" spans="1:10" ht="15">
      <c r="A397" s="7"/>
      <c r="B397" s="10"/>
      <c r="C397" s="133"/>
      <c r="D397" s="1"/>
      <c r="E397" s="1"/>
      <c r="F397" s="1"/>
      <c r="G397" s="1"/>
      <c r="H397" s="1"/>
      <c r="I397" s="1"/>
      <c r="J397" s="1"/>
    </row>
    <row r="398" spans="1:10" ht="15">
      <c r="A398" s="7"/>
      <c r="B398" s="10"/>
      <c r="C398" s="133"/>
      <c r="D398" s="1"/>
      <c r="E398" s="1"/>
      <c r="F398" s="1"/>
      <c r="G398" s="1"/>
      <c r="H398" s="1"/>
      <c r="I398" s="1"/>
      <c r="J398" s="1"/>
    </row>
    <row r="399" spans="1:10" ht="15">
      <c r="A399" s="7"/>
      <c r="B399" s="10"/>
      <c r="C399" s="133"/>
      <c r="D399" s="1"/>
      <c r="E399" s="1"/>
      <c r="F399" s="1"/>
      <c r="G399" s="1"/>
      <c r="H399" s="1"/>
      <c r="I399" s="1"/>
      <c r="J399" s="1"/>
    </row>
    <row r="400" spans="1:10" ht="15">
      <c r="A400" s="7"/>
      <c r="B400" s="10"/>
      <c r="C400" s="133"/>
      <c r="D400" s="1"/>
      <c r="E400" s="1"/>
      <c r="F400" s="1"/>
      <c r="G400" s="1"/>
      <c r="H400" s="1"/>
      <c r="I400" s="1"/>
      <c r="J400" s="1"/>
    </row>
    <row r="401" spans="1:10" ht="15">
      <c r="A401" s="7"/>
      <c r="B401" s="10"/>
      <c r="C401" s="133"/>
      <c r="D401" s="1"/>
      <c r="E401" s="1"/>
      <c r="F401" s="1"/>
      <c r="G401" s="1"/>
      <c r="H401" s="1"/>
      <c r="I401" s="1"/>
      <c r="J401" s="1"/>
    </row>
    <row r="402" spans="1:10" ht="15">
      <c r="A402" s="7"/>
      <c r="B402" s="10"/>
      <c r="C402" s="133"/>
      <c r="D402" s="1"/>
      <c r="E402" s="1"/>
      <c r="F402" s="1"/>
      <c r="G402" s="1"/>
      <c r="H402" s="1"/>
      <c r="I402" s="1"/>
      <c r="J402" s="1"/>
    </row>
    <row r="403" spans="1:10" ht="15">
      <c r="A403" s="7"/>
      <c r="B403" s="10"/>
      <c r="C403" s="133"/>
      <c r="D403" s="1"/>
      <c r="E403" s="1"/>
      <c r="F403" s="1"/>
      <c r="G403" s="1"/>
      <c r="H403" s="1"/>
      <c r="I403" s="1"/>
      <c r="J403" s="1"/>
    </row>
    <row r="404" spans="1:10" ht="15">
      <c r="A404" s="7"/>
      <c r="B404" s="10"/>
      <c r="C404" s="133"/>
      <c r="D404" s="1"/>
      <c r="E404" s="1"/>
      <c r="F404" s="1"/>
      <c r="G404" s="1"/>
      <c r="H404" s="1"/>
      <c r="I404" s="1"/>
      <c r="J404" s="1"/>
    </row>
    <row r="405" spans="1:10" ht="15">
      <c r="A405" s="7"/>
      <c r="B405" s="10"/>
      <c r="C405" s="133"/>
      <c r="D405" s="1"/>
      <c r="E405" s="1"/>
      <c r="F405" s="1"/>
      <c r="G405" s="1"/>
      <c r="H405" s="1"/>
      <c r="I405" s="1"/>
      <c r="J405" s="1"/>
    </row>
    <row r="406" spans="1:10" ht="15">
      <c r="A406" s="7"/>
      <c r="B406" s="10"/>
      <c r="C406" s="133"/>
      <c r="D406" s="1"/>
      <c r="E406" s="1"/>
      <c r="F406" s="1"/>
      <c r="G406" s="1"/>
      <c r="H406" s="1"/>
      <c r="I406" s="1"/>
      <c r="J406" s="1"/>
    </row>
    <row r="407" spans="1:10" ht="15">
      <c r="A407" s="7"/>
      <c r="B407" s="10"/>
      <c r="C407" s="133"/>
      <c r="D407" s="1"/>
      <c r="E407" s="1"/>
      <c r="F407" s="1"/>
      <c r="G407" s="1"/>
      <c r="H407" s="1"/>
      <c r="I407" s="1"/>
      <c r="J407" s="1"/>
    </row>
    <row r="408" spans="1:10" ht="15">
      <c r="A408" s="7"/>
      <c r="B408" s="10"/>
      <c r="C408" s="133"/>
      <c r="D408" s="1"/>
      <c r="E408" s="1"/>
      <c r="F408" s="1"/>
      <c r="G408" s="1"/>
      <c r="H408" s="1"/>
      <c r="I408" s="1"/>
      <c r="J408" s="1"/>
    </row>
    <row r="409" spans="1:10" ht="15">
      <c r="A409" s="7"/>
      <c r="B409" s="10"/>
      <c r="C409" s="133"/>
      <c r="D409" s="1"/>
      <c r="E409" s="1"/>
      <c r="F409" s="1"/>
      <c r="G409" s="1"/>
      <c r="H409" s="1"/>
      <c r="I409" s="1"/>
      <c r="J409" s="1"/>
    </row>
    <row r="410" spans="1:10" ht="15">
      <c r="A410" s="7"/>
      <c r="B410" s="10"/>
      <c r="C410" s="133"/>
      <c r="D410" s="1"/>
      <c r="E410" s="1"/>
      <c r="F410" s="1"/>
      <c r="G410" s="1"/>
      <c r="H410" s="1"/>
      <c r="I410" s="1"/>
      <c r="J410" s="1"/>
    </row>
    <row r="411" spans="1:10" ht="15">
      <c r="A411" s="7"/>
      <c r="B411" s="10"/>
      <c r="C411" s="133"/>
      <c r="D411" s="1"/>
      <c r="E411" s="1"/>
      <c r="F411" s="1"/>
      <c r="G411" s="1"/>
      <c r="H411" s="1"/>
      <c r="I411" s="1"/>
      <c r="J411" s="1"/>
    </row>
    <row r="412" spans="1:10" ht="15">
      <c r="A412" s="7"/>
      <c r="B412" s="10"/>
      <c r="C412" s="133"/>
      <c r="D412" s="1"/>
      <c r="E412" s="1"/>
      <c r="F412" s="1"/>
      <c r="G412" s="1"/>
      <c r="H412" s="1"/>
      <c r="I412" s="1"/>
      <c r="J412" s="1"/>
    </row>
    <row r="413" spans="1:10" ht="15">
      <c r="A413" s="7"/>
      <c r="B413" s="10"/>
      <c r="C413" s="133"/>
      <c r="D413" s="1"/>
      <c r="E413" s="1"/>
      <c r="F413" s="1"/>
      <c r="G413" s="1"/>
      <c r="H413" s="1"/>
      <c r="I413" s="1"/>
      <c r="J413" s="1"/>
    </row>
    <row r="414" spans="1:10" ht="15">
      <c r="A414" s="7"/>
      <c r="B414" s="10"/>
      <c r="C414" s="133"/>
      <c r="D414" s="1"/>
      <c r="E414" s="1"/>
      <c r="F414" s="1"/>
      <c r="G414" s="1"/>
      <c r="H414" s="1"/>
      <c r="I414" s="1"/>
      <c r="J414" s="1"/>
    </row>
    <row r="415" spans="1:10" ht="15">
      <c r="A415" s="7"/>
      <c r="B415" s="10"/>
      <c r="C415" s="133"/>
      <c r="D415" s="1"/>
      <c r="E415" s="1"/>
      <c r="F415" s="1"/>
      <c r="G415" s="1"/>
      <c r="H415" s="1"/>
      <c r="I415" s="1"/>
      <c r="J415" s="1"/>
    </row>
    <row r="416" spans="1:10" ht="15">
      <c r="A416" s="7"/>
      <c r="B416" s="10"/>
      <c r="C416" s="133"/>
      <c r="D416" s="1"/>
      <c r="E416" s="1"/>
      <c r="F416" s="1"/>
      <c r="G416" s="1"/>
      <c r="H416" s="1"/>
      <c r="I416" s="1"/>
      <c r="J416" s="1"/>
    </row>
    <row r="417" spans="1:10" ht="15">
      <c r="A417" s="7"/>
      <c r="B417" s="10"/>
      <c r="C417" s="133"/>
      <c r="D417" s="1"/>
      <c r="E417" s="1"/>
      <c r="F417" s="1"/>
      <c r="G417" s="1"/>
      <c r="H417" s="1"/>
      <c r="I417" s="1"/>
      <c r="J417" s="1"/>
    </row>
    <row r="418" spans="1:10" ht="15">
      <c r="A418" s="7"/>
      <c r="B418" s="10"/>
      <c r="C418" s="133"/>
      <c r="D418" s="1"/>
      <c r="E418" s="1"/>
      <c r="F418" s="1"/>
      <c r="G418" s="1"/>
      <c r="H418" s="1"/>
      <c r="I418" s="1"/>
      <c r="J418" s="1"/>
    </row>
    <row r="419" spans="1:10" ht="15">
      <c r="A419" s="7"/>
      <c r="B419" s="10"/>
      <c r="C419" s="133"/>
      <c r="D419" s="1"/>
      <c r="E419" s="1"/>
      <c r="F419" s="1"/>
      <c r="G419" s="1"/>
      <c r="H419" s="1"/>
      <c r="I419" s="1"/>
      <c r="J419" s="1"/>
    </row>
    <row r="420" spans="1:10" ht="15">
      <c r="A420" s="7"/>
      <c r="B420" s="10"/>
      <c r="C420" s="133"/>
      <c r="D420" s="1"/>
      <c r="E420" s="1"/>
      <c r="F420" s="1"/>
      <c r="G420" s="1"/>
      <c r="H420" s="1"/>
      <c r="I420" s="1"/>
      <c r="J420" s="1"/>
    </row>
    <row r="421" spans="1:10" ht="15">
      <c r="A421" s="7"/>
      <c r="B421" s="10"/>
      <c r="C421" s="133"/>
      <c r="D421" s="1"/>
      <c r="E421" s="1"/>
      <c r="F421" s="1"/>
      <c r="G421" s="1"/>
      <c r="H421" s="1"/>
      <c r="I421" s="1"/>
      <c r="J421" s="1"/>
    </row>
    <row r="422" spans="1:10" ht="15">
      <c r="A422" s="7"/>
      <c r="B422" s="10"/>
      <c r="C422" s="133"/>
      <c r="D422" s="1"/>
      <c r="E422" s="1"/>
      <c r="F422" s="1"/>
      <c r="G422" s="1"/>
      <c r="H422" s="1"/>
      <c r="I422" s="1"/>
      <c r="J422" s="1"/>
    </row>
    <row r="423" spans="1:10" ht="15">
      <c r="A423" s="7"/>
      <c r="B423" s="10"/>
      <c r="C423" s="133"/>
      <c r="D423" s="1"/>
      <c r="E423" s="1"/>
      <c r="F423" s="1"/>
      <c r="G423" s="1"/>
      <c r="H423" s="1"/>
      <c r="I423" s="1"/>
      <c r="J423" s="1"/>
    </row>
    <row r="424" spans="1:10" ht="15">
      <c r="A424" s="7"/>
      <c r="B424" s="10"/>
      <c r="C424" s="133"/>
      <c r="D424" s="1"/>
      <c r="E424" s="1"/>
      <c r="F424" s="1"/>
      <c r="G424" s="1"/>
      <c r="H424" s="1"/>
      <c r="I424" s="1"/>
      <c r="J424" s="1"/>
    </row>
    <row r="425" spans="1:10" ht="15">
      <c r="A425" s="7"/>
      <c r="B425" s="10"/>
      <c r="C425" s="133"/>
      <c r="D425" s="1"/>
      <c r="E425" s="1"/>
      <c r="F425" s="1"/>
      <c r="G425" s="1"/>
      <c r="H425" s="1"/>
      <c r="I425" s="1"/>
      <c r="J425" s="1"/>
    </row>
    <row r="426" spans="1:10" ht="15">
      <c r="A426" s="7"/>
      <c r="B426" s="10"/>
      <c r="C426" s="133"/>
      <c r="D426" s="1"/>
      <c r="E426" s="1"/>
      <c r="F426" s="1"/>
      <c r="G426" s="1"/>
      <c r="H426" s="1"/>
      <c r="I426" s="1"/>
      <c r="J426" s="1"/>
    </row>
    <row r="427" spans="1:10" ht="15">
      <c r="A427" s="7"/>
      <c r="B427" s="10"/>
      <c r="C427" s="133"/>
      <c r="D427" s="1"/>
      <c r="E427" s="1"/>
      <c r="F427" s="1"/>
      <c r="G427" s="1"/>
      <c r="H427" s="1"/>
      <c r="I427" s="1"/>
      <c r="J427" s="1"/>
    </row>
    <row r="428" spans="1:10" ht="15">
      <c r="A428" s="7"/>
      <c r="B428" s="10"/>
      <c r="C428" s="133"/>
      <c r="D428" s="1"/>
      <c r="E428" s="1"/>
      <c r="F428" s="1"/>
      <c r="G428" s="1"/>
      <c r="H428" s="1"/>
      <c r="I428" s="1"/>
      <c r="J428" s="1"/>
    </row>
    <row r="429" spans="1:10" ht="15">
      <c r="A429" s="7"/>
      <c r="B429" s="10"/>
      <c r="C429" s="133"/>
      <c r="D429" s="1"/>
      <c r="E429" s="1"/>
      <c r="F429" s="1"/>
      <c r="G429" s="1"/>
      <c r="H429" s="1"/>
      <c r="I429" s="1"/>
      <c r="J429" s="1"/>
    </row>
    <row r="430" spans="1:10" ht="15">
      <c r="A430" s="7"/>
      <c r="B430" s="10"/>
      <c r="C430" s="133"/>
      <c r="D430" s="1"/>
      <c r="E430" s="1"/>
      <c r="F430" s="1"/>
      <c r="G430" s="1"/>
      <c r="H430" s="1"/>
      <c r="I430" s="1"/>
      <c r="J430" s="1"/>
    </row>
    <row r="431" spans="1:10" ht="15">
      <c r="A431" s="7"/>
      <c r="B431" s="10"/>
      <c r="C431" s="133"/>
      <c r="D431" s="1"/>
      <c r="E431" s="1"/>
      <c r="F431" s="1"/>
      <c r="G431" s="1"/>
      <c r="H431" s="1"/>
      <c r="I431" s="1"/>
      <c r="J431" s="1"/>
    </row>
    <row r="432" spans="1:10" ht="15">
      <c r="A432" s="7"/>
      <c r="B432" s="10"/>
      <c r="C432" s="133"/>
      <c r="D432" s="1"/>
      <c r="E432" s="1"/>
      <c r="F432" s="1"/>
      <c r="G432" s="1"/>
      <c r="H432" s="1"/>
      <c r="I432" s="1"/>
      <c r="J432" s="1"/>
    </row>
    <row r="433" spans="1:10" ht="15">
      <c r="A433" s="7"/>
      <c r="B433" s="10"/>
      <c r="C433" s="133"/>
      <c r="D433" s="1"/>
      <c r="E433" s="1"/>
      <c r="F433" s="1"/>
      <c r="G433" s="1"/>
      <c r="H433" s="1"/>
      <c r="I433" s="1"/>
      <c r="J433" s="1"/>
    </row>
  </sheetData>
  <mergeCells count="3">
    <mergeCell ref="A11:C11"/>
    <mergeCell ref="A1:J1"/>
    <mergeCell ref="A143:C143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6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32"/>
  <sheetViews>
    <sheetView showGridLines="0" zoomScale="140" zoomScaleNormal="140" workbookViewId="0" topLeftCell="A79">
      <selection activeCell="E92" sqref="E92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  <col min="11" max="16384" width="11.59765625" style="0" customWidth="1"/>
  </cols>
  <sheetData>
    <row r="1" spans="1:10" s="3" customFormat="1" ht="30.75" customHeight="1">
      <c r="A1" s="294" t="s">
        <v>144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10" s="3" customFormat="1" ht="14.25">
      <c r="A3" s="43" t="s">
        <v>3</v>
      </c>
      <c r="B3" s="9"/>
      <c r="C3" s="167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135" t="s">
        <v>227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224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1" s="94" customFormat="1" ht="25.5" customHeight="1">
      <c r="A9" s="90"/>
      <c r="B9" s="90"/>
      <c r="C9" s="116"/>
      <c r="D9" s="137" t="s">
        <v>4</v>
      </c>
      <c r="E9" s="137" t="s">
        <v>228</v>
      </c>
      <c r="F9" s="137" t="s">
        <v>229</v>
      </c>
      <c r="G9" s="138" t="s">
        <v>230</v>
      </c>
      <c r="H9" s="138" t="s">
        <v>230</v>
      </c>
      <c r="I9" s="138" t="s">
        <v>147</v>
      </c>
      <c r="J9" s="93" t="s">
        <v>4</v>
      </c>
      <c r="K9" s="94" t="s">
        <v>323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231</v>
      </c>
      <c r="H10" s="140" t="s">
        <v>289</v>
      </c>
      <c r="I10" s="140" t="s">
        <v>143</v>
      </c>
      <c r="J10" s="88"/>
    </row>
    <row r="11" spans="1:10" s="14" customFormat="1" ht="12.75" customHeight="1" thickBot="1">
      <c r="A11" s="288" t="s">
        <v>133</v>
      </c>
      <c r="B11" s="289"/>
      <c r="C11" s="290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1" s="3" customFormat="1" ht="12.75">
      <c r="A15" s="25"/>
      <c r="B15" s="26" t="s">
        <v>8</v>
      </c>
      <c r="C15" s="120" t="s">
        <v>232</v>
      </c>
      <c r="D15" s="146"/>
      <c r="E15" s="147">
        <f>500*24</f>
        <v>12000</v>
      </c>
      <c r="F15" s="147"/>
      <c r="G15" s="147"/>
      <c r="H15" s="147">
        <v>6000</v>
      </c>
      <c r="I15" s="147"/>
      <c r="J15" s="23">
        <f>SUM(E15:I15)</f>
        <v>18000</v>
      </c>
      <c r="K15" s="3">
        <f>E15</f>
        <v>12000</v>
      </c>
    </row>
    <row r="16" spans="1:10" s="3" customFormat="1" ht="12.75">
      <c r="A16" s="25"/>
      <c r="B16" s="26" t="s">
        <v>9</v>
      </c>
      <c r="C16" s="120" t="s">
        <v>233</v>
      </c>
      <c r="D16" s="146"/>
      <c r="E16" s="147">
        <f>500*24</f>
        <v>12000</v>
      </c>
      <c r="F16" s="147"/>
      <c r="G16" s="147"/>
      <c r="H16" s="147">
        <v>6000</v>
      </c>
      <c r="I16" s="147"/>
      <c r="J16" s="23">
        <f>SUM(E16:I16)</f>
        <v>18000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24000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36000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0" t="s">
        <v>235</v>
      </c>
      <c r="D20" s="150"/>
      <c r="E20" s="150"/>
      <c r="F20" s="150">
        <v>3111.33</v>
      </c>
      <c r="G20" s="150"/>
      <c r="H20" s="150">
        <v>2250</v>
      </c>
      <c r="I20" s="150"/>
      <c r="J20" s="23">
        <f>SUM(F20:I20)</f>
        <v>5361.33</v>
      </c>
    </row>
    <row r="21" spans="1:10" s="3" customFormat="1" ht="12.75">
      <c r="A21" s="25"/>
      <c r="B21" s="26" t="s">
        <v>13</v>
      </c>
      <c r="C21" s="120" t="s">
        <v>234</v>
      </c>
      <c r="D21" s="150"/>
      <c r="E21" s="150"/>
      <c r="F21" s="150">
        <v>2040.71</v>
      </c>
      <c r="G21" s="150"/>
      <c r="H21" s="150">
        <v>2250</v>
      </c>
      <c r="I21" s="150"/>
      <c r="J21" s="23">
        <f>SUM(F21:I21)</f>
        <v>4290.71</v>
      </c>
    </row>
    <row r="22" spans="1:11" s="3" customFormat="1" ht="25.5">
      <c r="A22" s="25"/>
      <c r="B22" s="26" t="s">
        <v>14</v>
      </c>
      <c r="C22" s="120" t="s">
        <v>241</v>
      </c>
      <c r="D22" s="150"/>
      <c r="E22" s="150">
        <f>200*25</f>
        <v>5000</v>
      </c>
      <c r="F22" s="150"/>
      <c r="G22" s="150"/>
      <c r="H22" s="150">
        <v>2000</v>
      </c>
      <c r="I22" s="150"/>
      <c r="J22" s="23">
        <f>SUM(E22:I22)</f>
        <v>7000</v>
      </c>
      <c r="K22" s="3">
        <f>E22</f>
        <v>5000</v>
      </c>
    </row>
    <row r="23" spans="1:10" s="3" customFormat="1" ht="12.75">
      <c r="A23" s="25"/>
      <c r="B23" s="26" t="s">
        <v>153</v>
      </c>
      <c r="C23" s="120" t="s">
        <v>249</v>
      </c>
      <c r="D23" s="150"/>
      <c r="E23" s="150">
        <f>200*50</f>
        <v>10000</v>
      </c>
      <c r="F23" s="150">
        <f>200*50</f>
        <v>10000</v>
      </c>
      <c r="G23" s="150"/>
      <c r="H23" s="150">
        <v>4000</v>
      </c>
      <c r="I23" s="150"/>
      <c r="J23" s="23">
        <f>SUM(E23:I23)</f>
        <v>24000</v>
      </c>
    </row>
    <row r="24" spans="1:10" s="3" customFormat="1" ht="12.75">
      <c r="A24" s="25"/>
      <c r="B24" s="26" t="s">
        <v>154</v>
      </c>
      <c r="C24" s="120" t="s">
        <v>242</v>
      </c>
      <c r="D24" s="150"/>
      <c r="E24" s="150">
        <f>200*20</f>
        <v>4000</v>
      </c>
      <c r="F24" s="150"/>
      <c r="G24" s="150"/>
      <c r="H24" s="150">
        <v>3000</v>
      </c>
      <c r="I24" s="150"/>
      <c r="J24" s="23">
        <f>SUM(E24:I24)</f>
        <v>7000</v>
      </c>
    </row>
    <row r="25" spans="1:10" s="3" customFormat="1" ht="12.75">
      <c r="A25" s="25"/>
      <c r="B25" s="39" t="s">
        <v>15</v>
      </c>
      <c r="C25" s="121" t="s">
        <v>138</v>
      </c>
      <c r="D25" s="148">
        <f aca="true" t="shared" si="1" ref="D25:J25">SUM(D20:D24)</f>
        <v>0</v>
      </c>
      <c r="E25" s="148">
        <f t="shared" si="1"/>
        <v>19000</v>
      </c>
      <c r="F25" s="148">
        <f>SUM(F20:F24)</f>
        <v>15152.04</v>
      </c>
      <c r="G25" s="148">
        <f t="shared" si="1"/>
        <v>0</v>
      </c>
      <c r="H25" s="148">
        <f t="shared" si="1"/>
        <v>13500</v>
      </c>
      <c r="I25" s="148">
        <f t="shared" si="1"/>
        <v>0</v>
      </c>
      <c r="J25" s="23">
        <f t="shared" si="1"/>
        <v>47652.04</v>
      </c>
    </row>
    <row r="26" spans="1:10" s="3" customFormat="1" ht="12.75">
      <c r="A26" s="59"/>
      <c r="B26" s="66" t="s">
        <v>16</v>
      </c>
      <c r="C26" s="123" t="s">
        <v>95</v>
      </c>
      <c r="D26" s="149"/>
      <c r="E26" s="149"/>
      <c r="F26" s="149"/>
      <c r="G26" s="149"/>
      <c r="H26" s="149"/>
      <c r="I26" s="149"/>
      <c r="J26" s="62"/>
    </row>
    <row r="27" spans="1:10" s="3" customFormat="1" ht="12.75">
      <c r="A27" s="54"/>
      <c r="B27" s="67"/>
      <c r="C27" s="119" t="s">
        <v>113</v>
      </c>
      <c r="D27" s="145"/>
      <c r="E27" s="145"/>
      <c r="F27" s="145"/>
      <c r="G27" s="145"/>
      <c r="H27" s="145"/>
      <c r="I27" s="145"/>
      <c r="J27" s="57"/>
    </row>
    <row r="28" spans="1:11" s="3" customFormat="1" ht="12.75">
      <c r="A28" s="25"/>
      <c r="B28" s="39" t="s">
        <v>17</v>
      </c>
      <c r="C28" s="124" t="s">
        <v>238</v>
      </c>
      <c r="D28" s="147"/>
      <c r="E28" s="147">
        <v>4200</v>
      </c>
      <c r="F28" s="147"/>
      <c r="G28" s="147"/>
      <c r="H28" s="147">
        <v>2100</v>
      </c>
      <c r="I28" s="147"/>
      <c r="J28" s="23">
        <f>SUM(E28:I28)</f>
        <v>6300</v>
      </c>
      <c r="K28" s="3">
        <f>E28</f>
        <v>4200</v>
      </c>
    </row>
    <row r="29" spans="1:10" s="3" customFormat="1" ht="12.75">
      <c r="A29" s="25"/>
      <c r="B29" s="39" t="s">
        <v>18</v>
      </c>
      <c r="C29" s="124" t="s">
        <v>239</v>
      </c>
      <c r="D29" s="147"/>
      <c r="E29" s="147">
        <v>2100</v>
      </c>
      <c r="F29" s="147"/>
      <c r="G29" s="147"/>
      <c r="H29" s="147">
        <v>1050</v>
      </c>
      <c r="I29" s="147"/>
      <c r="J29" s="23">
        <f>SUM(E29:I29)</f>
        <v>3150</v>
      </c>
    </row>
    <row r="30" spans="1:10" s="3" customFormat="1" ht="12.75">
      <c r="A30" s="25"/>
      <c r="B30" s="39" t="s">
        <v>19</v>
      </c>
      <c r="C30" s="124" t="s">
        <v>240</v>
      </c>
      <c r="D30" s="147"/>
      <c r="E30" s="147">
        <v>2100</v>
      </c>
      <c r="F30" s="147"/>
      <c r="G30" s="147"/>
      <c r="H30" s="147">
        <v>1050</v>
      </c>
      <c r="I30" s="147"/>
      <c r="J30" s="23">
        <f>SUM(E30:I30)</f>
        <v>3150</v>
      </c>
    </row>
    <row r="31" spans="1:10" s="3" customFormat="1" ht="12.75">
      <c r="A31" s="25"/>
      <c r="B31" s="39" t="s">
        <v>20</v>
      </c>
      <c r="C31" s="121" t="s">
        <v>138</v>
      </c>
      <c r="D31" s="148">
        <f aca="true" t="shared" si="2" ref="D31:J31">SUM(D28:D30)</f>
        <v>0</v>
      </c>
      <c r="E31" s="148">
        <f t="shared" si="2"/>
        <v>8400</v>
      </c>
      <c r="F31" s="148">
        <f t="shared" si="2"/>
        <v>0</v>
      </c>
      <c r="G31" s="148">
        <f t="shared" si="2"/>
        <v>0</v>
      </c>
      <c r="H31" s="148">
        <f t="shared" si="2"/>
        <v>4200</v>
      </c>
      <c r="I31" s="148">
        <f t="shared" si="2"/>
        <v>0</v>
      </c>
      <c r="J31" s="23">
        <f t="shared" si="2"/>
        <v>12600</v>
      </c>
    </row>
    <row r="32" spans="1:10" s="3" customFormat="1" ht="12.75">
      <c r="A32" s="25"/>
      <c r="B32" s="40" t="s">
        <v>21</v>
      </c>
      <c r="C32" s="125" t="s">
        <v>110</v>
      </c>
      <c r="D32" s="150"/>
      <c r="E32" s="150"/>
      <c r="F32" s="150"/>
      <c r="G32" s="150"/>
      <c r="H32" s="150"/>
      <c r="I32" s="150"/>
      <c r="J32" s="34"/>
    </row>
    <row r="33" spans="1:10" s="3" customFormat="1" ht="12.75">
      <c r="A33" s="25"/>
      <c r="B33" s="39" t="s">
        <v>22</v>
      </c>
      <c r="C33" s="124"/>
      <c r="D33" s="150"/>
      <c r="E33" s="150"/>
      <c r="F33" s="150"/>
      <c r="G33" s="150"/>
      <c r="H33" s="150"/>
      <c r="I33" s="150"/>
      <c r="J33" s="23">
        <f>SUM(E33:I33)</f>
        <v>0</v>
      </c>
    </row>
    <row r="34" spans="1:10" s="3" customFormat="1" ht="12.75">
      <c r="A34" s="25"/>
      <c r="B34" s="39" t="s">
        <v>23</v>
      </c>
      <c r="C34" s="124"/>
      <c r="D34" s="150"/>
      <c r="E34" s="150"/>
      <c r="F34" s="150"/>
      <c r="G34" s="150"/>
      <c r="H34" s="150"/>
      <c r="I34" s="150"/>
      <c r="J34" s="23">
        <f>SUM(E34:I34)</f>
        <v>0</v>
      </c>
    </row>
    <row r="35" spans="1:10" s="3" customFormat="1" ht="12.75">
      <c r="A35" s="25"/>
      <c r="B35" s="39" t="s">
        <v>111</v>
      </c>
      <c r="C35" s="124"/>
      <c r="D35" s="150"/>
      <c r="E35" s="150"/>
      <c r="F35" s="150"/>
      <c r="G35" s="150"/>
      <c r="H35" s="150"/>
      <c r="I35" s="150"/>
      <c r="J35" s="23">
        <f>SUM(E35:I35)</f>
        <v>0</v>
      </c>
    </row>
    <row r="36" spans="1:10" s="3" customFormat="1" ht="12.75">
      <c r="A36" s="25"/>
      <c r="B36" s="39" t="s">
        <v>24</v>
      </c>
      <c r="C36" s="121" t="s">
        <v>138</v>
      </c>
      <c r="D36" s="148">
        <f aca="true" t="shared" si="3" ref="D36:J36">SUM(D33:D35)</f>
        <v>0</v>
      </c>
      <c r="E36" s="148">
        <f t="shared" si="3"/>
        <v>0</v>
      </c>
      <c r="F36" s="148">
        <f t="shared" si="3"/>
        <v>0</v>
      </c>
      <c r="G36" s="148">
        <f t="shared" si="3"/>
        <v>0</v>
      </c>
      <c r="H36" s="148">
        <f t="shared" si="3"/>
        <v>0</v>
      </c>
      <c r="I36" s="148">
        <f t="shared" si="3"/>
        <v>0</v>
      </c>
      <c r="J36" s="23">
        <f t="shared" si="3"/>
        <v>0</v>
      </c>
    </row>
    <row r="37" spans="1:10" s="3" customFormat="1" ht="12.75">
      <c r="A37" s="25"/>
      <c r="B37" s="40" t="s">
        <v>25</v>
      </c>
      <c r="C37" s="125" t="s">
        <v>91</v>
      </c>
      <c r="D37" s="150"/>
      <c r="E37" s="150"/>
      <c r="F37" s="150"/>
      <c r="G37" s="150"/>
      <c r="H37" s="150"/>
      <c r="I37" s="150"/>
      <c r="J37" s="34"/>
    </row>
    <row r="38" spans="1:10" s="3" customFormat="1" ht="12.75">
      <c r="A38" s="25"/>
      <c r="B38" s="39" t="s">
        <v>26</v>
      </c>
      <c r="C38" s="124" t="s">
        <v>243</v>
      </c>
      <c r="D38" s="150"/>
      <c r="E38" s="150">
        <v>5000</v>
      </c>
      <c r="F38" s="150"/>
      <c r="G38" s="150"/>
      <c r="H38" s="150"/>
      <c r="I38" s="150"/>
      <c r="J38" s="23">
        <f aca="true" t="shared" si="4" ref="J38:J43">SUM(E38:I38)</f>
        <v>5000</v>
      </c>
    </row>
    <row r="39" spans="1:10" s="3" customFormat="1" ht="12.75">
      <c r="A39" s="25"/>
      <c r="B39" s="39" t="s">
        <v>27</v>
      </c>
      <c r="C39" s="124" t="s">
        <v>244</v>
      </c>
      <c r="D39" s="150"/>
      <c r="E39" s="150">
        <v>5000</v>
      </c>
      <c r="F39" s="150"/>
      <c r="G39" s="150"/>
      <c r="H39" s="150"/>
      <c r="I39" s="150"/>
      <c r="J39" s="23">
        <f t="shared" si="4"/>
        <v>5000</v>
      </c>
    </row>
    <row r="40" spans="1:10" s="3" customFormat="1" ht="12.75">
      <c r="A40" s="25"/>
      <c r="B40" s="39" t="s">
        <v>112</v>
      </c>
      <c r="C40" s="124" t="s">
        <v>245</v>
      </c>
      <c r="D40" s="150"/>
      <c r="E40" s="150">
        <v>4000</v>
      </c>
      <c r="F40" s="150"/>
      <c r="G40" s="150"/>
      <c r="H40" s="150"/>
      <c r="I40" s="150"/>
      <c r="J40" s="23">
        <f t="shared" si="4"/>
        <v>4000</v>
      </c>
    </row>
    <row r="41" spans="1:10" s="3" customFormat="1" ht="12.75">
      <c r="A41" s="25"/>
      <c r="B41" s="39" t="s">
        <v>166</v>
      </c>
      <c r="C41" s="124" t="s">
        <v>246</v>
      </c>
      <c r="D41" s="150"/>
      <c r="E41" s="150">
        <v>4000</v>
      </c>
      <c r="F41" s="150"/>
      <c r="G41" s="150"/>
      <c r="H41" s="150"/>
      <c r="I41" s="150"/>
      <c r="J41" s="23">
        <f t="shared" si="4"/>
        <v>4000</v>
      </c>
    </row>
    <row r="42" spans="1:10" s="3" customFormat="1" ht="12.75">
      <c r="A42" s="25"/>
      <c r="B42" s="39" t="s">
        <v>167</v>
      </c>
      <c r="C42" s="124" t="s">
        <v>247</v>
      </c>
      <c r="D42" s="150"/>
      <c r="E42" s="150">
        <v>2000</v>
      </c>
      <c r="F42" s="150"/>
      <c r="G42" s="150"/>
      <c r="H42" s="150"/>
      <c r="I42" s="150"/>
      <c r="J42" s="23">
        <f t="shared" si="4"/>
        <v>2000</v>
      </c>
    </row>
    <row r="43" spans="1:10" s="3" customFormat="1" ht="12.75">
      <c r="A43" s="25"/>
      <c r="B43" s="39" t="s">
        <v>169</v>
      </c>
      <c r="C43" s="124" t="s">
        <v>248</v>
      </c>
      <c r="D43" s="150"/>
      <c r="E43" s="150"/>
      <c r="F43" s="150">
        <v>10000</v>
      </c>
      <c r="G43" s="150"/>
      <c r="H43" s="150"/>
      <c r="I43" s="150"/>
      <c r="J43" s="23">
        <f t="shared" si="4"/>
        <v>10000</v>
      </c>
    </row>
    <row r="44" spans="1:10" s="3" customFormat="1" ht="12.75">
      <c r="A44" s="25"/>
      <c r="B44" s="39" t="s">
        <v>170</v>
      </c>
      <c r="C44" s="120" t="s">
        <v>271</v>
      </c>
      <c r="D44" s="150"/>
      <c r="E44" s="150">
        <v>6000</v>
      </c>
      <c r="F44" s="150"/>
      <c r="G44" s="150"/>
      <c r="H44" s="150">
        <v>2000</v>
      </c>
      <c r="J44" s="23">
        <f>SUM(E44:H44)</f>
        <v>8000</v>
      </c>
    </row>
    <row r="45" spans="1:10" s="3" customFormat="1" ht="12.75">
      <c r="A45" s="25"/>
      <c r="B45" s="39" t="s">
        <v>28</v>
      </c>
      <c r="C45" s="121" t="s">
        <v>138</v>
      </c>
      <c r="D45" s="148">
        <f aca="true" t="shared" si="5" ref="D45:J45">SUM(D38:D44)</f>
        <v>0</v>
      </c>
      <c r="E45" s="148">
        <f t="shared" si="5"/>
        <v>26000</v>
      </c>
      <c r="F45" s="148">
        <f t="shared" si="5"/>
        <v>10000</v>
      </c>
      <c r="G45" s="148">
        <f t="shared" si="5"/>
        <v>0</v>
      </c>
      <c r="H45" s="148">
        <f t="shared" si="5"/>
        <v>2000</v>
      </c>
      <c r="I45" s="148">
        <f t="shared" si="5"/>
        <v>0</v>
      </c>
      <c r="J45" s="23">
        <f t="shared" si="5"/>
        <v>38000</v>
      </c>
    </row>
    <row r="46" spans="1:10" s="3" customFormat="1" ht="12.75">
      <c r="A46" s="35"/>
      <c r="B46" s="36">
        <v>1999</v>
      </c>
      <c r="C46" s="126" t="s">
        <v>29</v>
      </c>
      <c r="D46" s="148">
        <f aca="true" t="shared" si="6" ref="D46:J46">+D17+D25+D31+D36+D45</f>
        <v>0</v>
      </c>
      <c r="E46" s="148">
        <f t="shared" si="6"/>
        <v>77400</v>
      </c>
      <c r="F46" s="148">
        <f t="shared" si="6"/>
        <v>25152.04</v>
      </c>
      <c r="G46" s="148">
        <f t="shared" si="6"/>
        <v>0</v>
      </c>
      <c r="H46" s="148">
        <f t="shared" si="6"/>
        <v>31700</v>
      </c>
      <c r="I46" s="148">
        <f t="shared" si="6"/>
        <v>0</v>
      </c>
      <c r="J46" s="23">
        <f t="shared" si="6"/>
        <v>134252.04</v>
      </c>
    </row>
    <row r="47" spans="1:10" s="3" customFormat="1" ht="12.75">
      <c r="A47" s="80">
        <v>20</v>
      </c>
      <c r="B47" s="74" t="s">
        <v>104</v>
      </c>
      <c r="C47" s="127"/>
      <c r="D47" s="149"/>
      <c r="E47" s="149"/>
      <c r="F47" s="149"/>
      <c r="G47" s="149"/>
      <c r="H47" s="149"/>
      <c r="I47" s="149"/>
      <c r="J47" s="62"/>
    </row>
    <row r="48" spans="1:10" s="3" customFormat="1" ht="12.75">
      <c r="A48" s="22"/>
      <c r="B48" s="76" t="s">
        <v>30</v>
      </c>
      <c r="C48" s="118" t="s">
        <v>115</v>
      </c>
      <c r="D48" s="151"/>
      <c r="E48" s="151"/>
      <c r="F48" s="151"/>
      <c r="G48" s="151"/>
      <c r="H48" s="151"/>
      <c r="I48" s="151"/>
      <c r="J48" s="82"/>
    </row>
    <row r="49" spans="1:10" s="3" customFormat="1" ht="12.75">
      <c r="A49" s="54"/>
      <c r="B49" s="55"/>
      <c r="C49" s="119" t="s">
        <v>116</v>
      </c>
      <c r="D49" s="152"/>
      <c r="E49" s="152"/>
      <c r="F49" s="152"/>
      <c r="G49" s="152"/>
      <c r="H49" s="152"/>
      <c r="I49" s="152"/>
      <c r="J49" s="65"/>
    </row>
    <row r="50" spans="1:10" s="3" customFormat="1" ht="12.75">
      <c r="A50" s="25"/>
      <c r="B50" s="26" t="s">
        <v>31</v>
      </c>
      <c r="C50" s="120"/>
      <c r="D50" s="147"/>
      <c r="E50" s="147"/>
      <c r="F50" s="147"/>
      <c r="G50" s="147"/>
      <c r="H50" s="147"/>
      <c r="I50" s="147"/>
      <c r="J50" s="23">
        <f>SUM(E50:I50)</f>
        <v>0</v>
      </c>
    </row>
    <row r="51" spans="1:10" s="3" customFormat="1" ht="12.75">
      <c r="A51" s="25"/>
      <c r="B51" s="39" t="s">
        <v>32</v>
      </c>
      <c r="C51" s="121" t="s">
        <v>138</v>
      </c>
      <c r="D51" s="148">
        <f aca="true" t="shared" si="7" ref="D51:J51">SUM(D50:D50)</f>
        <v>0</v>
      </c>
      <c r="E51" s="148">
        <f t="shared" si="7"/>
        <v>0</v>
      </c>
      <c r="F51" s="148">
        <f t="shared" si="7"/>
        <v>0</v>
      </c>
      <c r="G51" s="148">
        <f t="shared" si="7"/>
        <v>0</v>
      </c>
      <c r="H51" s="148">
        <f t="shared" si="7"/>
        <v>0</v>
      </c>
      <c r="I51" s="148">
        <f t="shared" si="7"/>
        <v>0</v>
      </c>
      <c r="J51" s="23">
        <f t="shared" si="7"/>
        <v>0</v>
      </c>
    </row>
    <row r="52" spans="1:10" s="3" customFormat="1" ht="12.75">
      <c r="A52" s="59"/>
      <c r="B52" s="66" t="s">
        <v>33</v>
      </c>
      <c r="C52" s="122" t="s">
        <v>117</v>
      </c>
      <c r="D52" s="153"/>
      <c r="E52" s="153"/>
      <c r="F52" s="153"/>
      <c r="G52" s="153"/>
      <c r="H52" s="153"/>
      <c r="I52" s="153"/>
      <c r="J52" s="64"/>
    </row>
    <row r="53" spans="1:10" s="3" customFormat="1" ht="12.75">
      <c r="A53" s="54"/>
      <c r="B53" s="67"/>
      <c r="C53" s="128" t="s">
        <v>118</v>
      </c>
      <c r="D53" s="152"/>
      <c r="E53" s="152"/>
      <c r="F53" s="152"/>
      <c r="G53" s="152"/>
      <c r="H53" s="152"/>
      <c r="I53" s="152"/>
      <c r="J53" s="65"/>
    </row>
    <row r="54" spans="1:10" s="3" customFormat="1" ht="12.75">
      <c r="A54" s="25"/>
      <c r="B54" s="39" t="s">
        <v>34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35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36</v>
      </c>
      <c r="C56" s="124"/>
      <c r="D56" s="147"/>
      <c r="E56" s="147"/>
      <c r="F56" s="147"/>
      <c r="G56" s="147"/>
      <c r="H56" s="147"/>
      <c r="I56" s="147"/>
      <c r="J56" s="23">
        <f>SUM(E56:I56)</f>
        <v>0</v>
      </c>
    </row>
    <row r="57" spans="1:10" s="3" customFormat="1" ht="12.75">
      <c r="A57" s="25"/>
      <c r="B57" s="39" t="s">
        <v>37</v>
      </c>
      <c r="C57" s="121" t="s">
        <v>138</v>
      </c>
      <c r="D57" s="148">
        <f aca="true" t="shared" si="8" ref="D57:J57">SUM(D54:D56)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48">
        <f t="shared" si="8"/>
        <v>0</v>
      </c>
      <c r="J57" s="23">
        <f t="shared" si="8"/>
        <v>0</v>
      </c>
    </row>
    <row r="58" spans="1:10" s="3" customFormat="1" ht="12.75">
      <c r="A58" s="25"/>
      <c r="B58" s="40" t="s">
        <v>38</v>
      </c>
      <c r="C58" s="125" t="s">
        <v>126</v>
      </c>
      <c r="D58" s="147"/>
      <c r="E58" s="147"/>
      <c r="F58" s="147"/>
      <c r="G58" s="147"/>
      <c r="H58" s="147"/>
      <c r="I58" s="147"/>
      <c r="J58" s="23"/>
    </row>
    <row r="59" spans="1:10" s="3" customFormat="1" ht="12.75">
      <c r="A59" s="25"/>
      <c r="B59" s="39" t="s">
        <v>39</v>
      </c>
      <c r="C59" s="124" t="s">
        <v>255</v>
      </c>
      <c r="D59" s="147"/>
      <c r="E59" s="147">
        <v>12000</v>
      </c>
      <c r="F59" s="147"/>
      <c r="G59" s="147">
        <v>6000</v>
      </c>
      <c r="H59" s="147"/>
      <c r="I59" s="147"/>
      <c r="J59" s="23">
        <f>SUM(E59:I59)</f>
        <v>18000</v>
      </c>
    </row>
    <row r="60" spans="1:10" s="3" customFormat="1" ht="12.75">
      <c r="A60" s="25"/>
      <c r="B60" s="39" t="s">
        <v>40</v>
      </c>
      <c r="C60" s="124" t="s">
        <v>256</v>
      </c>
      <c r="D60" s="147"/>
      <c r="E60" s="147">
        <v>12000</v>
      </c>
      <c r="G60" s="147">
        <v>12000</v>
      </c>
      <c r="H60" s="147">
        <v>5000</v>
      </c>
      <c r="I60" s="147"/>
      <c r="J60" s="23">
        <f aca="true" t="shared" si="9" ref="J60:J66">SUM(E60:I60)</f>
        <v>29000</v>
      </c>
    </row>
    <row r="61" spans="1:10" s="3" customFormat="1" ht="12.75">
      <c r="A61" s="25"/>
      <c r="B61" s="39" t="s">
        <v>41</v>
      </c>
      <c r="C61" s="124" t="s">
        <v>257</v>
      </c>
      <c r="D61" s="147"/>
      <c r="E61" s="147">
        <v>24000</v>
      </c>
      <c r="F61" s="147"/>
      <c r="G61" s="147">
        <v>24000</v>
      </c>
      <c r="H61" s="147">
        <v>10000</v>
      </c>
      <c r="I61" s="147"/>
      <c r="J61" s="23">
        <f t="shared" si="9"/>
        <v>58000</v>
      </c>
    </row>
    <row r="62" spans="1:10" s="3" customFormat="1" ht="12.75">
      <c r="A62" s="25"/>
      <c r="B62" s="39" t="s">
        <v>250</v>
      </c>
      <c r="C62" s="124" t="s">
        <v>258</v>
      </c>
      <c r="D62" s="147"/>
      <c r="E62" s="147">
        <v>20000</v>
      </c>
      <c r="F62" s="147"/>
      <c r="G62" s="147">
        <v>20000</v>
      </c>
      <c r="H62" s="147">
        <v>10000</v>
      </c>
      <c r="I62" s="147"/>
      <c r="J62" s="23">
        <f t="shared" si="9"/>
        <v>50000</v>
      </c>
    </row>
    <row r="63" spans="1:10" s="3" customFormat="1" ht="12.75">
      <c r="A63" s="25"/>
      <c r="B63" s="39" t="s">
        <v>251</v>
      </c>
      <c r="C63" s="124" t="s">
        <v>259</v>
      </c>
      <c r="D63" s="147"/>
      <c r="E63" s="147">
        <v>7000</v>
      </c>
      <c r="F63" s="147"/>
      <c r="G63" s="147"/>
      <c r="H63" s="147">
        <v>3000</v>
      </c>
      <c r="I63" s="147"/>
      <c r="J63" s="23">
        <f t="shared" si="9"/>
        <v>10000</v>
      </c>
    </row>
    <row r="64" spans="1:10" s="3" customFormat="1" ht="12.75">
      <c r="A64" s="25"/>
      <c r="B64" s="39" t="s">
        <v>252</v>
      </c>
      <c r="C64" s="124" t="s">
        <v>260</v>
      </c>
      <c r="D64" s="147"/>
      <c r="E64" s="147">
        <v>7000</v>
      </c>
      <c r="F64" s="147"/>
      <c r="G64" s="147"/>
      <c r="H64" s="147">
        <v>3000</v>
      </c>
      <c r="I64" s="147"/>
      <c r="J64" s="23">
        <f t="shared" si="9"/>
        <v>10000</v>
      </c>
    </row>
    <row r="65" spans="1:10" s="3" customFormat="1" ht="12.75">
      <c r="A65" s="25"/>
      <c r="B65" s="39" t="s">
        <v>253</v>
      </c>
      <c r="C65" s="124" t="s">
        <v>261</v>
      </c>
      <c r="D65" s="147"/>
      <c r="E65" s="147">
        <v>12000</v>
      </c>
      <c r="F65" s="147"/>
      <c r="G65" s="147">
        <v>12000</v>
      </c>
      <c r="H65" s="147">
        <v>5000</v>
      </c>
      <c r="I65" s="147"/>
      <c r="J65" s="23">
        <f t="shared" si="9"/>
        <v>29000</v>
      </c>
    </row>
    <row r="66" spans="1:11" s="3" customFormat="1" ht="12.75">
      <c r="A66" s="25"/>
      <c r="B66" s="39" t="s">
        <v>254</v>
      </c>
      <c r="C66" s="124" t="s">
        <v>262</v>
      </c>
      <c r="D66" s="147"/>
      <c r="E66" s="147">
        <v>20000</v>
      </c>
      <c r="F66" s="147"/>
      <c r="G66" s="147">
        <v>10000</v>
      </c>
      <c r="H66" s="147">
        <v>5000</v>
      </c>
      <c r="I66" s="147"/>
      <c r="J66" s="23">
        <f t="shared" si="9"/>
        <v>35000</v>
      </c>
      <c r="K66" s="3">
        <f>E66</f>
        <v>20000</v>
      </c>
    </row>
    <row r="67" spans="1:10" s="3" customFormat="1" ht="12.75">
      <c r="A67" s="25"/>
      <c r="B67" s="39" t="s">
        <v>42</v>
      </c>
      <c r="C67" s="121" t="s">
        <v>138</v>
      </c>
      <c r="D67" s="148">
        <f aca="true" t="shared" si="10" ref="D67:J67">SUM(D59:D66)</f>
        <v>0</v>
      </c>
      <c r="E67" s="148">
        <f t="shared" si="10"/>
        <v>114000</v>
      </c>
      <c r="F67" s="148">
        <f t="shared" si="10"/>
        <v>0</v>
      </c>
      <c r="G67" s="148">
        <f t="shared" si="10"/>
        <v>84000</v>
      </c>
      <c r="H67" s="148">
        <f t="shared" si="10"/>
        <v>41000</v>
      </c>
      <c r="I67" s="148">
        <f t="shared" si="10"/>
        <v>0</v>
      </c>
      <c r="J67" s="23">
        <f t="shared" si="10"/>
        <v>239000</v>
      </c>
    </row>
    <row r="68" spans="1:10" s="3" customFormat="1" ht="12.75">
      <c r="A68" s="35"/>
      <c r="B68" s="36">
        <v>2999</v>
      </c>
      <c r="C68" s="126" t="s">
        <v>29</v>
      </c>
      <c r="D68" s="148">
        <f aca="true" t="shared" si="11" ref="D68:J68">+D51+D57+D67</f>
        <v>0</v>
      </c>
      <c r="E68" s="148">
        <f t="shared" si="11"/>
        <v>114000</v>
      </c>
      <c r="F68" s="148">
        <f t="shared" si="11"/>
        <v>0</v>
      </c>
      <c r="G68" s="148">
        <f t="shared" si="11"/>
        <v>84000</v>
      </c>
      <c r="H68" s="148">
        <f t="shared" si="11"/>
        <v>41000</v>
      </c>
      <c r="I68" s="148">
        <f t="shared" si="11"/>
        <v>0</v>
      </c>
      <c r="J68" s="23">
        <f t="shared" si="11"/>
        <v>239000</v>
      </c>
    </row>
    <row r="69" spans="1:10" s="3" customFormat="1" ht="12.75">
      <c r="A69" s="84">
        <v>30</v>
      </c>
      <c r="B69" s="85" t="s">
        <v>43</v>
      </c>
      <c r="C69" s="129"/>
      <c r="D69" s="144"/>
      <c r="E69" s="144"/>
      <c r="F69" s="144"/>
      <c r="G69" s="144"/>
      <c r="H69" s="144"/>
      <c r="I69" s="144"/>
      <c r="J69" s="78"/>
    </row>
    <row r="70" spans="1:10" s="3" customFormat="1" ht="12.75">
      <c r="A70" s="22"/>
      <c r="B70" s="76" t="s">
        <v>44</v>
      </c>
      <c r="C70" s="118" t="s">
        <v>119</v>
      </c>
      <c r="D70" s="144"/>
      <c r="E70" s="144"/>
      <c r="F70" s="144"/>
      <c r="G70" s="144"/>
      <c r="H70" s="144"/>
      <c r="I70" s="144"/>
      <c r="J70" s="78"/>
    </row>
    <row r="71" spans="1:10" s="3" customFormat="1" ht="12.75">
      <c r="A71" s="54"/>
      <c r="B71" s="55"/>
      <c r="C71" s="119" t="s">
        <v>120</v>
      </c>
      <c r="D71" s="145"/>
      <c r="E71" s="145"/>
      <c r="F71" s="145"/>
      <c r="G71" s="145"/>
      <c r="H71" s="145"/>
      <c r="I71" s="145"/>
      <c r="J71" s="57"/>
    </row>
    <row r="72" spans="1:10" s="3" customFormat="1" ht="12.75">
      <c r="A72" s="25"/>
      <c r="B72" s="26" t="s">
        <v>45</v>
      </c>
      <c r="C72" s="130"/>
      <c r="D72" s="147"/>
      <c r="E72" s="147"/>
      <c r="F72" s="147"/>
      <c r="G72" s="147"/>
      <c r="H72" s="147"/>
      <c r="I72" s="147"/>
      <c r="J72" s="23">
        <f>SUM(E72:I72)</f>
        <v>0</v>
      </c>
    </row>
    <row r="73" spans="1:10" s="3" customFormat="1" ht="12.75">
      <c r="A73" s="25"/>
      <c r="B73" s="26" t="s">
        <v>46</v>
      </c>
      <c r="C73" s="130"/>
      <c r="D73" s="147"/>
      <c r="E73" s="147"/>
      <c r="F73" s="147"/>
      <c r="G73" s="147"/>
      <c r="H73" s="147"/>
      <c r="I73" s="147"/>
      <c r="J73" s="23">
        <f>SUM(E73:I73)</f>
        <v>0</v>
      </c>
    </row>
    <row r="74" spans="1:10" s="3" customFormat="1" ht="12.75">
      <c r="A74" s="25"/>
      <c r="B74" s="26" t="s">
        <v>134</v>
      </c>
      <c r="C74" s="130"/>
      <c r="D74" s="147"/>
      <c r="E74" s="147"/>
      <c r="F74" s="147"/>
      <c r="G74" s="147"/>
      <c r="H74" s="147"/>
      <c r="I74" s="147"/>
      <c r="J74" s="23">
        <f>SUM(E74:I74)</f>
        <v>0</v>
      </c>
    </row>
    <row r="75" spans="1:10" s="3" customFormat="1" ht="12.75">
      <c r="A75" s="25"/>
      <c r="B75" s="39" t="s">
        <v>47</v>
      </c>
      <c r="C75" s="121" t="s">
        <v>138</v>
      </c>
      <c r="D75" s="148">
        <f aca="true" t="shared" si="12" ref="D75:J75">SUM(D72:D74)</f>
        <v>0</v>
      </c>
      <c r="E75" s="148">
        <f t="shared" si="12"/>
        <v>0</v>
      </c>
      <c r="F75" s="148">
        <f t="shared" si="12"/>
        <v>0</v>
      </c>
      <c r="G75" s="148">
        <f t="shared" si="12"/>
        <v>0</v>
      </c>
      <c r="H75" s="148">
        <f t="shared" si="12"/>
        <v>0</v>
      </c>
      <c r="I75" s="148">
        <f t="shared" si="12"/>
        <v>0</v>
      </c>
      <c r="J75" s="23">
        <f t="shared" si="12"/>
        <v>0</v>
      </c>
    </row>
    <row r="76" spans="1:10" s="3" customFormat="1" ht="12.75">
      <c r="A76" s="59"/>
      <c r="B76" s="66" t="s">
        <v>48</v>
      </c>
      <c r="C76" s="123" t="s">
        <v>105</v>
      </c>
      <c r="D76" s="149"/>
      <c r="E76" s="149"/>
      <c r="F76" s="149"/>
      <c r="G76" s="149"/>
      <c r="H76" s="149"/>
      <c r="I76" s="149"/>
      <c r="J76" s="62"/>
    </row>
    <row r="77" spans="1:10" s="3" customFormat="1" ht="12.75">
      <c r="A77" s="54"/>
      <c r="B77" s="67"/>
      <c r="C77" s="128" t="s">
        <v>106</v>
      </c>
      <c r="D77" s="145"/>
      <c r="E77" s="145"/>
      <c r="F77" s="145"/>
      <c r="G77" s="145"/>
      <c r="H77" s="145"/>
      <c r="I77" s="145"/>
      <c r="J77" s="57"/>
    </row>
    <row r="78" spans="1:10" s="172" customFormat="1" ht="12.75">
      <c r="A78" s="168" t="s">
        <v>342</v>
      </c>
      <c r="B78" s="169" t="s">
        <v>49</v>
      </c>
      <c r="C78" s="174" t="s">
        <v>236</v>
      </c>
      <c r="D78" s="175"/>
      <c r="E78" s="175" t="s">
        <v>342</v>
      </c>
      <c r="F78" s="175"/>
      <c r="G78" s="175"/>
      <c r="H78" s="175" t="s">
        <v>342</v>
      </c>
      <c r="I78" s="175"/>
      <c r="J78" s="171">
        <f>SUM(E78:I78)</f>
        <v>0</v>
      </c>
    </row>
    <row r="79" spans="1:10" s="3" customFormat="1" ht="12.75">
      <c r="A79" s="25"/>
      <c r="B79" s="39" t="s">
        <v>92</v>
      </c>
      <c r="C79" s="121" t="s">
        <v>237</v>
      </c>
      <c r="D79" s="150"/>
      <c r="E79" s="150">
        <v>10000</v>
      </c>
      <c r="F79" s="154"/>
      <c r="G79" s="150"/>
      <c r="H79" s="150">
        <v>4000</v>
      </c>
      <c r="I79" s="150"/>
      <c r="J79" s="23">
        <f>SUM(E79:I79)</f>
        <v>14000</v>
      </c>
    </row>
    <row r="80" spans="1:11" s="3" customFormat="1" ht="12.75">
      <c r="A80" s="25"/>
      <c r="B80" s="39" t="s">
        <v>93</v>
      </c>
      <c r="C80" s="121" t="s">
        <v>274</v>
      </c>
      <c r="D80" s="150"/>
      <c r="E80" s="150">
        <v>5000</v>
      </c>
      <c r="F80" s="150"/>
      <c r="G80" s="150"/>
      <c r="H80" s="150">
        <v>2000</v>
      </c>
      <c r="I80" s="150"/>
      <c r="J80" s="23">
        <f>SUM(E80:I80)</f>
        <v>7000</v>
      </c>
      <c r="K80" s="3">
        <f>E80</f>
        <v>5000</v>
      </c>
    </row>
    <row r="81" spans="1:10" s="3" customFormat="1" ht="12.75">
      <c r="A81" s="25"/>
      <c r="B81" s="39" t="s">
        <v>50</v>
      </c>
      <c r="C81" s="121" t="s">
        <v>138</v>
      </c>
      <c r="D81" s="148">
        <f aca="true" t="shared" si="13" ref="D81:J81">SUM(D78:D80)</f>
        <v>0</v>
      </c>
      <c r="E81" s="148">
        <f t="shared" si="13"/>
        <v>15000</v>
      </c>
      <c r="F81" s="148">
        <f t="shared" si="13"/>
        <v>0</v>
      </c>
      <c r="G81" s="148">
        <f t="shared" si="13"/>
        <v>0</v>
      </c>
      <c r="H81" s="148">
        <f t="shared" si="13"/>
        <v>6000</v>
      </c>
      <c r="I81" s="148">
        <f t="shared" si="13"/>
        <v>0</v>
      </c>
      <c r="J81" s="23">
        <f t="shared" si="13"/>
        <v>21000</v>
      </c>
    </row>
    <row r="82" spans="1:10" s="3" customFormat="1" ht="12.75">
      <c r="A82" s="25"/>
      <c r="B82" s="40" t="s">
        <v>51</v>
      </c>
      <c r="C82" s="125" t="s">
        <v>94</v>
      </c>
      <c r="D82" s="150"/>
      <c r="E82" s="150"/>
      <c r="F82" s="150"/>
      <c r="G82" s="150"/>
      <c r="H82" s="150"/>
      <c r="I82" s="150"/>
      <c r="J82" s="34"/>
    </row>
    <row r="83" spans="1:10" s="172" customFormat="1" ht="12.75">
      <c r="A83" s="168"/>
      <c r="B83" s="169" t="s">
        <v>52</v>
      </c>
      <c r="C83" s="174" t="s">
        <v>263</v>
      </c>
      <c r="D83" s="176"/>
      <c r="E83" s="176" t="s">
        <v>342</v>
      </c>
      <c r="F83" s="176"/>
      <c r="G83" s="176">
        <v>16000</v>
      </c>
      <c r="H83" s="176">
        <v>6000</v>
      </c>
      <c r="I83" s="176"/>
      <c r="J83" s="177">
        <f>SUM(E83:I83)</f>
        <v>22000</v>
      </c>
    </row>
    <row r="84" spans="1:10" s="3" customFormat="1" ht="12.75">
      <c r="A84" s="25"/>
      <c r="B84" s="39" t="s">
        <v>53</v>
      </c>
      <c r="C84" s="121" t="s">
        <v>264</v>
      </c>
      <c r="D84" s="147"/>
      <c r="E84" s="147">
        <v>8000</v>
      </c>
      <c r="F84" s="147"/>
      <c r="G84" s="147"/>
      <c r="H84" s="147">
        <v>4000</v>
      </c>
      <c r="I84" s="147"/>
      <c r="J84" s="23">
        <f>SUM(E84:I84)</f>
        <v>12000</v>
      </c>
    </row>
    <row r="85" spans="1:10" s="3" customFormat="1" ht="12.75">
      <c r="A85" s="25"/>
      <c r="B85" s="39" t="s">
        <v>55</v>
      </c>
      <c r="C85" s="121" t="s">
        <v>138</v>
      </c>
      <c r="D85" s="148">
        <f aca="true" t="shared" si="14" ref="D85:J85">SUM(D83:D84)</f>
        <v>0</v>
      </c>
      <c r="E85" s="148">
        <f t="shared" si="14"/>
        <v>8000</v>
      </c>
      <c r="F85" s="148">
        <f t="shared" si="14"/>
        <v>0</v>
      </c>
      <c r="G85" s="148">
        <f t="shared" si="14"/>
        <v>16000</v>
      </c>
      <c r="H85" s="148">
        <f t="shared" si="14"/>
        <v>10000</v>
      </c>
      <c r="I85" s="148">
        <f t="shared" si="14"/>
        <v>0</v>
      </c>
      <c r="J85" s="23">
        <f t="shared" si="14"/>
        <v>34000</v>
      </c>
    </row>
    <row r="86" spans="1:10" s="3" customFormat="1" ht="12.75">
      <c r="A86" s="35"/>
      <c r="B86" s="36">
        <v>3999</v>
      </c>
      <c r="C86" s="126" t="s">
        <v>29</v>
      </c>
      <c r="D86" s="148">
        <f aca="true" t="shared" si="15" ref="D86:J86">+D75+D81+D85</f>
        <v>0</v>
      </c>
      <c r="E86" s="148">
        <f t="shared" si="15"/>
        <v>23000</v>
      </c>
      <c r="F86" s="148">
        <f t="shared" si="15"/>
        <v>0</v>
      </c>
      <c r="G86" s="148">
        <f t="shared" si="15"/>
        <v>16000</v>
      </c>
      <c r="H86" s="148">
        <f t="shared" si="15"/>
        <v>16000</v>
      </c>
      <c r="I86" s="148">
        <f t="shared" si="15"/>
        <v>0</v>
      </c>
      <c r="J86" s="23">
        <f t="shared" si="15"/>
        <v>55000</v>
      </c>
    </row>
    <row r="87" spans="1:10" s="3" customFormat="1" ht="12.75">
      <c r="A87" s="80">
        <v>40</v>
      </c>
      <c r="B87" s="86" t="s">
        <v>127</v>
      </c>
      <c r="C87" s="127"/>
      <c r="D87" s="149"/>
      <c r="E87" s="149"/>
      <c r="F87" s="149"/>
      <c r="G87" s="149"/>
      <c r="H87" s="149"/>
      <c r="I87" s="149"/>
      <c r="J87" s="62"/>
    </row>
    <row r="88" spans="1:10" s="3" customFormat="1" ht="12.75">
      <c r="A88" s="22"/>
      <c r="B88" s="76" t="s">
        <v>56</v>
      </c>
      <c r="C88" s="118" t="s">
        <v>103</v>
      </c>
      <c r="D88" s="151"/>
      <c r="E88" s="151"/>
      <c r="F88" s="151"/>
      <c r="G88" s="151"/>
      <c r="H88" s="151"/>
      <c r="I88" s="151"/>
      <c r="J88" s="82"/>
    </row>
    <row r="89" spans="1:10" s="3" customFormat="1" ht="12.75">
      <c r="A89" s="54"/>
      <c r="B89" s="55"/>
      <c r="C89" s="119" t="s">
        <v>121</v>
      </c>
      <c r="D89" s="152"/>
      <c r="E89" s="152"/>
      <c r="F89" s="152"/>
      <c r="G89" s="152"/>
      <c r="H89" s="152"/>
      <c r="I89" s="152"/>
      <c r="J89" s="65"/>
    </row>
    <row r="90" spans="1:10" s="3" customFormat="1" ht="12.75">
      <c r="A90" s="25"/>
      <c r="B90" s="26" t="s">
        <v>57</v>
      </c>
      <c r="C90" s="130" t="s">
        <v>265</v>
      </c>
      <c r="D90" s="150"/>
      <c r="E90" s="147">
        <v>3000</v>
      </c>
      <c r="F90" s="150"/>
      <c r="G90" s="150"/>
      <c r="H90" s="147">
        <v>6000</v>
      </c>
      <c r="I90" s="150"/>
      <c r="J90" s="23">
        <f>SUM(E90:I90)</f>
        <v>9000</v>
      </c>
    </row>
    <row r="91" spans="1:10" s="3" customFormat="1" ht="12.75">
      <c r="A91" s="25"/>
      <c r="B91" s="26" t="s">
        <v>59</v>
      </c>
      <c r="C91" s="130" t="s">
        <v>628</v>
      </c>
      <c r="D91" s="150"/>
      <c r="E91" s="147">
        <v>60000</v>
      </c>
      <c r="F91" s="150"/>
      <c r="G91" s="150"/>
      <c r="H91" s="147">
        <v>10000</v>
      </c>
      <c r="I91" s="150"/>
      <c r="J91" s="23">
        <f>SUM(E91:I91)</f>
        <v>70000</v>
      </c>
    </row>
    <row r="92" spans="1:10" s="3" customFormat="1" ht="12.75">
      <c r="A92" s="25"/>
      <c r="B92" s="39" t="s">
        <v>63</v>
      </c>
      <c r="C92" s="121" t="s">
        <v>4</v>
      </c>
      <c r="D92" s="148">
        <f aca="true" t="shared" si="16" ref="D92:J92">SUM(D90:D91)</f>
        <v>0</v>
      </c>
      <c r="E92" s="148">
        <f t="shared" si="16"/>
        <v>63000</v>
      </c>
      <c r="F92" s="148">
        <f t="shared" si="16"/>
        <v>0</v>
      </c>
      <c r="G92" s="148">
        <f t="shared" si="16"/>
        <v>0</v>
      </c>
      <c r="H92" s="148">
        <f t="shared" si="16"/>
        <v>16000</v>
      </c>
      <c r="I92" s="148">
        <f t="shared" si="16"/>
        <v>0</v>
      </c>
      <c r="J92" s="23">
        <f t="shared" si="16"/>
        <v>79000</v>
      </c>
    </row>
    <row r="93" spans="1:10" s="3" customFormat="1" ht="12.75">
      <c r="A93" s="59"/>
      <c r="B93" s="72">
        <v>4200</v>
      </c>
      <c r="C93" s="123" t="s">
        <v>90</v>
      </c>
      <c r="D93" s="153"/>
      <c r="E93" s="153"/>
      <c r="F93" s="153"/>
      <c r="G93" s="153"/>
      <c r="H93" s="153"/>
      <c r="I93" s="153"/>
      <c r="J93" s="64"/>
    </row>
    <row r="94" spans="1:10" s="3" customFormat="1" ht="12.75">
      <c r="A94" s="54"/>
      <c r="B94" s="73"/>
      <c r="C94" s="128" t="s">
        <v>96</v>
      </c>
      <c r="D94" s="152"/>
      <c r="E94" s="152"/>
      <c r="F94" s="152"/>
      <c r="G94" s="152"/>
      <c r="H94" s="152"/>
      <c r="I94" s="152"/>
      <c r="J94" s="65"/>
    </row>
    <row r="95" spans="1:10" s="3" customFormat="1" ht="12.75">
      <c r="A95" s="25"/>
      <c r="B95" s="39" t="s">
        <v>64</v>
      </c>
      <c r="C95" s="121" t="s">
        <v>267</v>
      </c>
      <c r="D95" s="150"/>
      <c r="E95" s="150">
        <v>4000</v>
      </c>
      <c r="F95" s="150"/>
      <c r="G95" s="150"/>
      <c r="H95" s="150"/>
      <c r="I95" s="150"/>
      <c r="J95" s="23">
        <f>SUM(E95:I95)</f>
        <v>4000</v>
      </c>
    </row>
    <row r="96" spans="1:10" s="3" customFormat="1" ht="25.5">
      <c r="A96" s="25"/>
      <c r="B96" s="39" t="s">
        <v>65</v>
      </c>
      <c r="C96" s="121" t="s">
        <v>268</v>
      </c>
      <c r="D96" s="150"/>
      <c r="E96" s="150">
        <v>10000</v>
      </c>
      <c r="F96" s="150"/>
      <c r="G96" s="150"/>
      <c r="H96" s="150"/>
      <c r="I96" s="150"/>
      <c r="J96" s="23">
        <f>SUM(E96:I96)</f>
        <v>10000</v>
      </c>
    </row>
    <row r="97" spans="1:10" s="172" customFormat="1" ht="25.5">
      <c r="A97" s="168"/>
      <c r="B97" s="169" t="s">
        <v>135</v>
      </c>
      <c r="C97" s="174" t="s">
        <v>269</v>
      </c>
      <c r="D97" s="175"/>
      <c r="E97" s="175">
        <v>15000</v>
      </c>
      <c r="F97" s="175"/>
      <c r="G97" s="175">
        <v>10000</v>
      </c>
      <c r="H97" s="175"/>
      <c r="I97" s="175"/>
      <c r="J97" s="177">
        <f>SUM(E97:I97)</f>
        <v>25000</v>
      </c>
    </row>
    <row r="98" spans="1:10" s="3" customFormat="1" ht="12.75">
      <c r="A98" s="25"/>
      <c r="B98" s="39" t="s">
        <v>66</v>
      </c>
      <c r="C98" s="121" t="s">
        <v>138</v>
      </c>
      <c r="D98" s="148">
        <f aca="true" t="shared" si="17" ref="D98:J98">SUM(D95:D97)</f>
        <v>0</v>
      </c>
      <c r="E98" s="148">
        <f t="shared" si="17"/>
        <v>29000</v>
      </c>
      <c r="F98" s="148">
        <f t="shared" si="17"/>
        <v>0</v>
      </c>
      <c r="G98" s="148">
        <f t="shared" si="17"/>
        <v>10000</v>
      </c>
      <c r="H98" s="148">
        <f t="shared" si="17"/>
        <v>0</v>
      </c>
      <c r="I98" s="148">
        <f t="shared" si="17"/>
        <v>0</v>
      </c>
      <c r="J98" s="23">
        <f t="shared" si="17"/>
        <v>39000</v>
      </c>
    </row>
    <row r="99" spans="1:10" s="3" customFormat="1" ht="12.75">
      <c r="A99" s="59"/>
      <c r="B99" s="72">
        <v>4300</v>
      </c>
      <c r="C99" s="123" t="s">
        <v>122</v>
      </c>
      <c r="D99" s="153"/>
      <c r="E99" s="153"/>
      <c r="F99" s="153"/>
      <c r="G99" s="153"/>
      <c r="H99" s="153"/>
      <c r="I99" s="153"/>
      <c r="J99" s="64"/>
    </row>
    <row r="100" spans="1:10" s="3" customFormat="1" ht="12.75">
      <c r="A100" s="54"/>
      <c r="B100" s="73"/>
      <c r="C100" s="128" t="s">
        <v>123</v>
      </c>
      <c r="D100" s="152"/>
      <c r="E100" s="152"/>
      <c r="F100" s="152"/>
      <c r="G100" s="152"/>
      <c r="H100" s="152"/>
      <c r="I100" s="152"/>
      <c r="J100" s="65"/>
    </row>
    <row r="101" spans="1:10" s="3" customFormat="1" ht="12.75">
      <c r="A101" s="25"/>
      <c r="B101" s="39" t="s">
        <v>67</v>
      </c>
      <c r="C101" s="121" t="str">
        <f>'detailed GEF budget BIS'!C92</f>
        <v>Office Maintenance+Electricity</v>
      </c>
      <c r="D101" s="150"/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68</v>
      </c>
      <c r="C102" s="121" t="s">
        <v>138</v>
      </c>
      <c r="D102" s="148">
        <f aca="true" t="shared" si="18" ref="D102:J102">SUM(D101:D101)</f>
        <v>0</v>
      </c>
      <c r="E102" s="148">
        <f t="shared" si="18"/>
        <v>0</v>
      </c>
      <c r="F102" s="148">
        <f t="shared" si="18"/>
        <v>0</v>
      </c>
      <c r="G102" s="148">
        <f t="shared" si="18"/>
        <v>0</v>
      </c>
      <c r="H102" s="148">
        <f t="shared" si="18"/>
        <v>0</v>
      </c>
      <c r="I102" s="148">
        <f t="shared" si="18"/>
        <v>0</v>
      </c>
      <c r="J102" s="23">
        <f t="shared" si="18"/>
        <v>0</v>
      </c>
    </row>
    <row r="103" spans="1:10" s="3" customFormat="1" ht="12.75">
      <c r="A103" s="35"/>
      <c r="B103" s="36">
        <v>4999</v>
      </c>
      <c r="C103" s="126" t="s">
        <v>29</v>
      </c>
      <c r="D103" s="148">
        <f aca="true" t="shared" si="19" ref="D103:J103">+D92+D98+D102</f>
        <v>0</v>
      </c>
      <c r="E103" s="148">
        <f t="shared" si="19"/>
        <v>92000</v>
      </c>
      <c r="F103" s="148">
        <f t="shared" si="19"/>
        <v>0</v>
      </c>
      <c r="G103" s="148">
        <f t="shared" si="19"/>
        <v>10000</v>
      </c>
      <c r="H103" s="148">
        <f t="shared" si="19"/>
        <v>16000</v>
      </c>
      <c r="I103" s="148">
        <f t="shared" si="19"/>
        <v>0</v>
      </c>
      <c r="J103" s="23">
        <f t="shared" si="19"/>
        <v>118000</v>
      </c>
    </row>
    <row r="104" spans="1:10" s="3" customFormat="1" ht="12.75">
      <c r="A104" s="80">
        <v>50</v>
      </c>
      <c r="B104" s="74" t="s">
        <v>69</v>
      </c>
      <c r="C104" s="127"/>
      <c r="D104" s="149"/>
      <c r="E104" s="149"/>
      <c r="F104" s="149"/>
      <c r="G104" s="149"/>
      <c r="H104" s="149"/>
      <c r="I104" s="149"/>
      <c r="J104" s="62"/>
    </row>
    <row r="105" spans="1:10" s="3" customFormat="1" ht="12.75">
      <c r="A105" s="22"/>
      <c r="B105" s="85" t="s">
        <v>70</v>
      </c>
      <c r="C105" s="118" t="s">
        <v>107</v>
      </c>
      <c r="D105" s="144"/>
      <c r="E105" s="144"/>
      <c r="F105" s="144"/>
      <c r="G105" s="144"/>
      <c r="H105" s="144"/>
      <c r="I105" s="144"/>
      <c r="J105" s="78"/>
    </row>
    <row r="106" spans="1:10" s="3" customFormat="1" ht="12.75">
      <c r="A106" s="54"/>
      <c r="B106" s="75"/>
      <c r="C106" s="119" t="s">
        <v>97</v>
      </c>
      <c r="D106" s="145"/>
      <c r="E106" s="145"/>
      <c r="F106" s="145"/>
      <c r="G106" s="145"/>
      <c r="H106" s="145"/>
      <c r="I106" s="145"/>
      <c r="J106" s="57"/>
    </row>
    <row r="107" spans="1:10" s="3" customFormat="1" ht="12.75">
      <c r="A107" s="25"/>
      <c r="B107" s="26" t="s">
        <v>71</v>
      </c>
      <c r="C107" s="130" t="s">
        <v>99</v>
      </c>
      <c r="D107" s="147"/>
      <c r="E107" s="147"/>
      <c r="F107" s="147"/>
      <c r="G107" s="147"/>
      <c r="H107" s="147"/>
      <c r="I107" s="147"/>
      <c r="J107" s="23">
        <f>SUM(E107:I107)</f>
        <v>0</v>
      </c>
    </row>
    <row r="108" spans="1:10" s="3" customFormat="1" ht="12.75">
      <c r="A108" s="25"/>
      <c r="B108" s="26" t="s">
        <v>72</v>
      </c>
      <c r="C108" s="130" t="s">
        <v>128</v>
      </c>
      <c r="D108" s="147"/>
      <c r="E108" s="150"/>
      <c r="F108" s="150"/>
      <c r="G108" s="150"/>
      <c r="H108" s="150"/>
      <c r="I108" s="150"/>
      <c r="J108" s="23">
        <f>SUM(E108:I108)</f>
        <v>0</v>
      </c>
    </row>
    <row r="109" spans="1:10" s="3" customFormat="1" ht="12.75">
      <c r="A109" s="25"/>
      <c r="B109" s="26" t="s">
        <v>73</v>
      </c>
      <c r="C109" s="130" t="s">
        <v>100</v>
      </c>
      <c r="D109" s="147"/>
      <c r="E109" s="150"/>
      <c r="F109" s="150"/>
      <c r="G109" s="150"/>
      <c r="H109" s="150"/>
      <c r="I109" s="150"/>
      <c r="J109" s="23">
        <f>SUM(E109:I109)</f>
        <v>0</v>
      </c>
    </row>
    <row r="110" spans="1:10" s="3" customFormat="1" ht="12.75">
      <c r="A110" s="25"/>
      <c r="B110" s="26" t="s">
        <v>74</v>
      </c>
      <c r="C110" s="130" t="s">
        <v>101</v>
      </c>
      <c r="D110" s="147"/>
      <c r="E110" s="150"/>
      <c r="F110" s="150"/>
      <c r="G110" s="150"/>
      <c r="H110" s="150"/>
      <c r="I110" s="150"/>
      <c r="J110" s="23">
        <f>SUM(E110:I110)</f>
        <v>0</v>
      </c>
    </row>
    <row r="111" spans="1:10" s="3" customFormat="1" ht="12.75">
      <c r="A111" s="25"/>
      <c r="B111" s="26" t="s">
        <v>75</v>
      </c>
      <c r="C111" s="130" t="s">
        <v>102</v>
      </c>
      <c r="D111" s="147">
        <f>'detailed GEF budget BIS'!G102</f>
        <v>0</v>
      </c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76</v>
      </c>
      <c r="C112" s="121" t="s">
        <v>138</v>
      </c>
      <c r="D112" s="148">
        <f aca="true" t="shared" si="20" ref="D112:J112">SUM(D107:D111)</f>
        <v>0</v>
      </c>
      <c r="E112" s="148">
        <f t="shared" si="20"/>
        <v>0</v>
      </c>
      <c r="F112" s="148">
        <f t="shared" si="20"/>
        <v>0</v>
      </c>
      <c r="G112" s="148">
        <f t="shared" si="20"/>
        <v>0</v>
      </c>
      <c r="H112" s="148">
        <f t="shared" si="20"/>
        <v>0</v>
      </c>
      <c r="I112" s="148">
        <f t="shared" si="20"/>
        <v>0</v>
      </c>
      <c r="J112" s="23">
        <f t="shared" si="20"/>
        <v>0</v>
      </c>
    </row>
    <row r="113" spans="1:10" s="3" customFormat="1" ht="12.75">
      <c r="A113" s="59"/>
      <c r="B113" s="72">
        <v>5200</v>
      </c>
      <c r="C113" s="123" t="s">
        <v>129</v>
      </c>
      <c r="D113" s="153"/>
      <c r="E113" s="153"/>
      <c r="F113" s="153"/>
      <c r="G113" s="153"/>
      <c r="H113" s="153"/>
      <c r="I113" s="153"/>
      <c r="J113" s="64"/>
    </row>
    <row r="114" spans="1:10" s="3" customFormat="1" ht="12.75">
      <c r="A114" s="54"/>
      <c r="B114" s="73"/>
      <c r="C114" s="128" t="s">
        <v>98</v>
      </c>
      <c r="D114" s="152"/>
      <c r="E114" s="152"/>
      <c r="F114" s="152"/>
      <c r="G114" s="152"/>
      <c r="H114" s="152"/>
      <c r="I114" s="152"/>
      <c r="J114" s="65"/>
    </row>
    <row r="115" spans="1:10" s="3" customFormat="1" ht="12.75">
      <c r="A115" s="25"/>
      <c r="B115" s="39" t="s">
        <v>77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39" t="s">
        <v>78</v>
      </c>
      <c r="C116" s="121"/>
      <c r="D116" s="150"/>
      <c r="E116" s="150"/>
      <c r="F116" s="150"/>
      <c r="G116" s="150"/>
      <c r="H116" s="150"/>
      <c r="I116" s="150"/>
      <c r="J116" s="23">
        <f>SUM(E116:I116)</f>
        <v>0</v>
      </c>
    </row>
    <row r="117" spans="1:10" s="3" customFormat="1" ht="12.75">
      <c r="A117" s="25"/>
      <c r="B117" s="39" t="s">
        <v>79</v>
      </c>
      <c r="C117" s="121" t="s">
        <v>138</v>
      </c>
      <c r="D117" s="148">
        <f aca="true" t="shared" si="21" ref="D117:J117">SUM(D115:D116)</f>
        <v>0</v>
      </c>
      <c r="E117" s="148">
        <f t="shared" si="21"/>
        <v>0</v>
      </c>
      <c r="F117" s="148">
        <f t="shared" si="21"/>
        <v>0</v>
      </c>
      <c r="G117" s="148">
        <f t="shared" si="21"/>
        <v>0</v>
      </c>
      <c r="H117" s="148">
        <f t="shared" si="21"/>
        <v>0</v>
      </c>
      <c r="I117" s="148">
        <f t="shared" si="21"/>
        <v>0</v>
      </c>
      <c r="J117" s="23">
        <f t="shared" si="21"/>
        <v>0</v>
      </c>
    </row>
    <row r="118" spans="1:10" s="3" customFormat="1" ht="12.75">
      <c r="A118" s="59"/>
      <c r="B118" s="72">
        <v>5300</v>
      </c>
      <c r="C118" s="123" t="s">
        <v>124</v>
      </c>
      <c r="D118" s="153"/>
      <c r="E118" s="153"/>
      <c r="F118" s="153"/>
      <c r="G118" s="153"/>
      <c r="H118" s="153"/>
      <c r="I118" s="153"/>
      <c r="J118" s="64"/>
    </row>
    <row r="119" spans="1:10" s="3" customFormat="1" ht="12.75">
      <c r="A119" s="54"/>
      <c r="B119" s="73"/>
      <c r="C119" s="128" t="s">
        <v>130</v>
      </c>
      <c r="D119" s="152"/>
      <c r="E119" s="152"/>
      <c r="F119" s="152"/>
      <c r="G119" s="152"/>
      <c r="H119" s="152"/>
      <c r="I119" s="152"/>
      <c r="J119" s="65"/>
    </row>
    <row r="120" spans="1:10" s="3" customFormat="1" ht="12.75">
      <c r="A120" s="25"/>
      <c r="B120" s="39" t="s">
        <v>80</v>
      </c>
      <c r="C120" s="121" t="str">
        <f>'detailed GEF budget BIS'!C111</f>
        <v>Communication</v>
      </c>
      <c r="D120" s="150"/>
      <c r="E120" s="150">
        <v>2000</v>
      </c>
      <c r="F120" s="150"/>
      <c r="G120" s="150"/>
      <c r="H120" s="150"/>
      <c r="I120" s="150"/>
      <c r="J120" s="23">
        <f>SUM(E120:I120)</f>
        <v>2000</v>
      </c>
    </row>
    <row r="121" spans="1:10" s="3" customFormat="1" ht="12.75">
      <c r="A121" s="25"/>
      <c r="B121" s="39" t="s">
        <v>81</v>
      </c>
      <c r="C121" s="121" t="str">
        <f>'detailed GEF budget BIS'!C112</f>
        <v>Auditing</v>
      </c>
      <c r="D121" s="150"/>
      <c r="E121" s="150"/>
      <c r="F121" s="150"/>
      <c r="G121" s="150"/>
      <c r="H121" s="150"/>
      <c r="I121" s="150"/>
      <c r="J121" s="23">
        <f>SUM(E121:I121)</f>
        <v>0</v>
      </c>
    </row>
    <row r="122" spans="1:10" s="3" customFormat="1" ht="12.75">
      <c r="A122" s="25"/>
      <c r="B122" s="39" t="s">
        <v>82</v>
      </c>
      <c r="C122" s="121" t="str">
        <f>'detailed GEF budget BIS'!C113</f>
        <v> Unspecified</v>
      </c>
      <c r="D122" s="150"/>
      <c r="E122" s="150"/>
      <c r="F122" s="150"/>
      <c r="G122" s="150"/>
      <c r="H122" s="150"/>
      <c r="I122" s="150"/>
      <c r="J122" s="23">
        <f>SUM(E122:I122)</f>
        <v>0</v>
      </c>
    </row>
    <row r="123" spans="1:10" s="3" customFormat="1" ht="12.75">
      <c r="A123" s="25"/>
      <c r="B123" s="39" t="s">
        <v>83</v>
      </c>
      <c r="C123" s="121" t="s">
        <v>138</v>
      </c>
      <c r="D123" s="148">
        <f aca="true" t="shared" si="22" ref="D123:J123">SUM(D120:D122)</f>
        <v>0</v>
      </c>
      <c r="E123" s="148">
        <f t="shared" si="22"/>
        <v>2000</v>
      </c>
      <c r="F123" s="148">
        <f t="shared" si="22"/>
        <v>0</v>
      </c>
      <c r="G123" s="148">
        <f t="shared" si="22"/>
        <v>0</v>
      </c>
      <c r="H123" s="148">
        <f t="shared" si="22"/>
        <v>0</v>
      </c>
      <c r="I123" s="148">
        <f t="shared" si="22"/>
        <v>0</v>
      </c>
      <c r="J123" s="23">
        <f t="shared" si="22"/>
        <v>2000</v>
      </c>
    </row>
    <row r="124" spans="1:10" s="3" customFormat="1" ht="12.75">
      <c r="A124" s="25"/>
      <c r="B124" s="41">
        <v>5400</v>
      </c>
      <c r="C124" s="125" t="s">
        <v>84</v>
      </c>
      <c r="D124" s="147"/>
      <c r="E124" s="147"/>
      <c r="F124" s="147"/>
      <c r="G124" s="147"/>
      <c r="H124" s="147"/>
      <c r="I124" s="147"/>
      <c r="J124" s="23"/>
    </row>
    <row r="125" spans="1:10" s="3" customFormat="1" ht="12.75">
      <c r="A125" s="25"/>
      <c r="B125" s="39" t="s">
        <v>85</v>
      </c>
      <c r="C125" s="121"/>
      <c r="D125" s="150"/>
      <c r="E125" s="150"/>
      <c r="F125" s="150"/>
      <c r="G125" s="150"/>
      <c r="H125" s="150"/>
      <c r="I125" s="150"/>
      <c r="J125" s="23">
        <f>SUM(E125:I125)</f>
        <v>0</v>
      </c>
    </row>
    <row r="126" spans="1:10" s="3" customFormat="1" ht="12.75">
      <c r="A126" s="25"/>
      <c r="B126" s="42">
        <v>5402</v>
      </c>
      <c r="C126" s="121"/>
      <c r="D126" s="147"/>
      <c r="E126" s="147"/>
      <c r="F126" s="147"/>
      <c r="G126" s="147"/>
      <c r="H126" s="147"/>
      <c r="I126" s="147"/>
      <c r="J126" s="23">
        <f>SUM(E126:I126)</f>
        <v>0</v>
      </c>
    </row>
    <row r="127" spans="1:10" s="3" customFormat="1" ht="12.75">
      <c r="A127" s="25"/>
      <c r="B127" s="39" t="s">
        <v>86</v>
      </c>
      <c r="C127" s="121" t="s">
        <v>138</v>
      </c>
      <c r="D127" s="148">
        <f aca="true" t="shared" si="23" ref="D127:J127">SUM(D125:D126)</f>
        <v>0</v>
      </c>
      <c r="E127" s="148">
        <f t="shared" si="23"/>
        <v>0</v>
      </c>
      <c r="F127" s="148">
        <f t="shared" si="23"/>
        <v>0</v>
      </c>
      <c r="G127" s="148">
        <f t="shared" si="23"/>
        <v>0</v>
      </c>
      <c r="H127" s="148">
        <f t="shared" si="23"/>
        <v>0</v>
      </c>
      <c r="I127" s="148">
        <f t="shared" si="23"/>
        <v>0</v>
      </c>
      <c r="J127" s="23">
        <f t="shared" si="23"/>
        <v>0</v>
      </c>
    </row>
    <row r="128" spans="1:10" s="3" customFormat="1" ht="12.75">
      <c r="A128" s="59"/>
      <c r="B128" s="72">
        <v>5500</v>
      </c>
      <c r="C128" s="123" t="s">
        <v>125</v>
      </c>
      <c r="D128" s="149"/>
      <c r="E128" s="149"/>
      <c r="F128" s="149"/>
      <c r="G128" s="149"/>
      <c r="H128" s="149"/>
      <c r="I128" s="149"/>
      <c r="J128" s="62"/>
    </row>
    <row r="129" spans="1:10" s="3" customFormat="1" ht="12.75">
      <c r="A129" s="54"/>
      <c r="B129" s="73"/>
      <c r="C129" s="128" t="s">
        <v>132</v>
      </c>
      <c r="D129" s="145"/>
      <c r="E129" s="145"/>
      <c r="F129" s="145"/>
      <c r="G129" s="145"/>
      <c r="H129" s="145"/>
      <c r="I129" s="145"/>
      <c r="J129" s="57"/>
    </row>
    <row r="130" spans="1:10" s="3" customFormat="1" ht="12.75">
      <c r="A130" s="25"/>
      <c r="B130" s="39" t="s">
        <v>87</v>
      </c>
      <c r="C130" s="124" t="s">
        <v>270</v>
      </c>
      <c r="D130" s="150"/>
      <c r="E130" s="150"/>
      <c r="F130" s="150">
        <v>15000</v>
      </c>
      <c r="G130" s="150"/>
      <c r="H130" s="150"/>
      <c r="I130" s="150"/>
      <c r="J130" s="23">
        <f>SUM(E130:I130)</f>
        <v>15000</v>
      </c>
    </row>
    <row r="131" spans="1:10" s="3" customFormat="1" ht="12.75">
      <c r="A131" s="25"/>
      <c r="B131" s="39" t="s">
        <v>89</v>
      </c>
      <c r="C131" s="121" t="s">
        <v>138</v>
      </c>
      <c r="D131" s="148">
        <f aca="true" t="shared" si="24" ref="D131:J131">SUM(D130:D130)</f>
        <v>0</v>
      </c>
      <c r="E131" s="148">
        <f t="shared" si="24"/>
        <v>0</v>
      </c>
      <c r="F131" s="148">
        <f t="shared" si="24"/>
        <v>15000</v>
      </c>
      <c r="G131" s="148">
        <f t="shared" si="24"/>
        <v>0</v>
      </c>
      <c r="H131" s="148">
        <f t="shared" si="24"/>
        <v>0</v>
      </c>
      <c r="I131" s="148">
        <f t="shared" si="24"/>
        <v>0</v>
      </c>
      <c r="J131" s="23">
        <f t="shared" si="24"/>
        <v>15000</v>
      </c>
    </row>
    <row r="132" spans="1:10" s="3" customFormat="1" ht="12.75">
      <c r="A132" s="35"/>
      <c r="B132" s="36">
        <v>5999</v>
      </c>
      <c r="C132" s="126" t="s">
        <v>29</v>
      </c>
      <c r="D132" s="148">
        <f aca="true" t="shared" si="25" ref="D132:J132">+D112+D117+D123+D127+D131</f>
        <v>0</v>
      </c>
      <c r="E132" s="148">
        <f t="shared" si="25"/>
        <v>2000</v>
      </c>
      <c r="F132" s="148">
        <f t="shared" si="25"/>
        <v>15000</v>
      </c>
      <c r="G132" s="148">
        <f t="shared" si="25"/>
        <v>0</v>
      </c>
      <c r="H132" s="148">
        <f t="shared" si="25"/>
        <v>0</v>
      </c>
      <c r="I132" s="148">
        <f t="shared" si="25"/>
        <v>0</v>
      </c>
      <c r="J132" s="23">
        <f t="shared" si="25"/>
        <v>17000</v>
      </c>
    </row>
    <row r="133" spans="1:10" s="3" customFormat="1" ht="12.75">
      <c r="A133" s="22"/>
      <c r="B133" s="19"/>
      <c r="C133" s="131"/>
      <c r="D133" s="150"/>
      <c r="E133" s="150"/>
      <c r="F133" s="150"/>
      <c r="G133" s="150"/>
      <c r="H133" s="150"/>
      <c r="I133" s="150"/>
      <c r="J133" s="48"/>
    </row>
    <row r="134" spans="1:11" s="3" customFormat="1" ht="13.5" thickBot="1">
      <c r="A134" s="49"/>
      <c r="B134" s="50" t="s">
        <v>136</v>
      </c>
      <c r="C134" s="132"/>
      <c r="D134" s="155">
        <f aca="true" t="shared" si="26" ref="D134:J134">+D46+D68+D86+D103+D132</f>
        <v>0</v>
      </c>
      <c r="E134" s="155">
        <f t="shared" si="26"/>
        <v>308400</v>
      </c>
      <c r="F134" s="155">
        <f t="shared" si="26"/>
        <v>40152.04</v>
      </c>
      <c r="G134" s="155">
        <f t="shared" si="26"/>
        <v>110000</v>
      </c>
      <c r="H134" s="155">
        <f t="shared" si="26"/>
        <v>104700</v>
      </c>
      <c r="I134" s="155">
        <f t="shared" si="26"/>
        <v>0</v>
      </c>
      <c r="J134" s="38">
        <f t="shared" si="26"/>
        <v>563252.04</v>
      </c>
      <c r="K134" s="3">
        <f>SUM(K12:K133)</f>
        <v>46200</v>
      </c>
    </row>
    <row r="135" spans="1:10" s="3" customFormat="1" ht="12.75">
      <c r="A135" s="18"/>
      <c r="B135" s="19"/>
      <c r="C135" s="131" t="s">
        <v>323</v>
      </c>
      <c r="D135" s="156"/>
      <c r="E135" s="156">
        <f>E136+K134</f>
        <v>177300</v>
      </c>
      <c r="F135" s="156"/>
      <c r="G135" s="156">
        <f>0.6*G134</f>
        <v>66000</v>
      </c>
      <c r="H135" s="156">
        <f>0.6*H134</f>
        <v>62820</v>
      </c>
      <c r="I135" s="156"/>
      <c r="J135" s="4"/>
    </row>
    <row r="136" spans="1:10" s="3" customFormat="1" ht="12.75">
      <c r="A136" s="5"/>
      <c r="B136" s="9"/>
      <c r="C136" s="116" t="s">
        <v>324</v>
      </c>
      <c r="D136" s="135"/>
      <c r="E136" s="135">
        <f>(E134-K134)/2</f>
        <v>131100</v>
      </c>
      <c r="F136" s="135"/>
      <c r="G136" s="135">
        <f>G134-G135</f>
        <v>44000</v>
      </c>
      <c r="H136" s="135">
        <f>H134-H135</f>
        <v>41880</v>
      </c>
      <c r="I136" s="135"/>
      <c r="J136" s="2"/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/>
      <c r="F138" s="135"/>
      <c r="G138" s="135"/>
      <c r="H138" s="135"/>
      <c r="I138" s="135"/>
      <c r="J138" s="2"/>
    </row>
    <row r="139" spans="1:10" s="3" customFormat="1" ht="13.5" thickBot="1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s="3" customFormat="1" ht="25.5">
      <c r="A140" s="90"/>
      <c r="B140" s="90"/>
      <c r="C140" s="116"/>
      <c r="D140" s="137" t="s">
        <v>4</v>
      </c>
      <c r="E140" s="137" t="s">
        <v>228</v>
      </c>
      <c r="F140" s="137" t="s">
        <v>229</v>
      </c>
      <c r="G140" s="138" t="s">
        <v>230</v>
      </c>
      <c r="H140" s="138" t="s">
        <v>230</v>
      </c>
      <c r="I140" s="138" t="s">
        <v>147</v>
      </c>
      <c r="J140" s="93" t="s">
        <v>4</v>
      </c>
    </row>
    <row r="141" spans="1:10" s="3" customFormat="1" ht="13.5" thickBot="1">
      <c r="A141" s="12"/>
      <c r="B141" s="13"/>
      <c r="C141" s="116"/>
      <c r="D141" s="139"/>
      <c r="E141" s="139"/>
      <c r="F141" s="140"/>
      <c r="G141" s="140" t="s">
        <v>231</v>
      </c>
      <c r="H141" s="140" t="s">
        <v>289</v>
      </c>
      <c r="I141" s="140" t="s">
        <v>143</v>
      </c>
      <c r="J141" s="88"/>
    </row>
    <row r="142" spans="1:10" s="3" customFormat="1" ht="13.5" thickBot="1">
      <c r="A142" s="288" t="s">
        <v>133</v>
      </c>
      <c r="B142" s="289"/>
      <c r="C142" s="290"/>
      <c r="D142" s="141" t="s">
        <v>5</v>
      </c>
      <c r="E142" s="141" t="s">
        <v>5</v>
      </c>
      <c r="F142" s="142" t="s">
        <v>5</v>
      </c>
      <c r="G142" s="142" t="s">
        <v>5</v>
      </c>
      <c r="H142" s="142" t="s">
        <v>5</v>
      </c>
      <c r="I142" s="142" t="s">
        <v>5</v>
      </c>
      <c r="J142" s="30" t="s">
        <v>5</v>
      </c>
    </row>
    <row r="143" spans="1:10" s="3" customFormat="1" ht="38.25">
      <c r="A143" s="5">
        <v>1</v>
      </c>
      <c r="B143" s="9"/>
      <c r="C143" s="101" t="s">
        <v>507</v>
      </c>
      <c r="D143" s="51">
        <f>D46</f>
        <v>0</v>
      </c>
      <c r="E143" s="51">
        <f aca="true" t="shared" si="27" ref="E143:J143">E46</f>
        <v>77400</v>
      </c>
      <c r="F143" s="51">
        <f t="shared" si="27"/>
        <v>25152.04</v>
      </c>
      <c r="G143" s="51">
        <f t="shared" si="27"/>
        <v>0</v>
      </c>
      <c r="H143" s="51">
        <f t="shared" si="27"/>
        <v>31700</v>
      </c>
      <c r="I143" s="51">
        <f t="shared" si="27"/>
        <v>0</v>
      </c>
      <c r="J143" s="51">
        <f t="shared" si="27"/>
        <v>134252.04</v>
      </c>
    </row>
    <row r="144" spans="1:10" s="3" customFormat="1" ht="26.25" thickBot="1">
      <c r="A144" s="5">
        <v>2</v>
      </c>
      <c r="B144" s="9"/>
      <c r="C144" s="101" t="s">
        <v>508</v>
      </c>
      <c r="D144" s="61">
        <f>D68</f>
        <v>0</v>
      </c>
      <c r="E144" s="61">
        <f aca="true" t="shared" si="28" ref="E144:J144">E68</f>
        <v>114000</v>
      </c>
      <c r="F144" s="61">
        <f t="shared" si="28"/>
        <v>0</v>
      </c>
      <c r="G144" s="61">
        <f t="shared" si="28"/>
        <v>84000</v>
      </c>
      <c r="H144" s="61">
        <f t="shared" si="28"/>
        <v>41000</v>
      </c>
      <c r="I144" s="61">
        <f t="shared" si="28"/>
        <v>0</v>
      </c>
      <c r="J144" s="61">
        <f t="shared" si="28"/>
        <v>239000</v>
      </c>
    </row>
    <row r="145" spans="1:10" s="3" customFormat="1" ht="26.25" thickBot="1">
      <c r="A145" s="5">
        <v>3</v>
      </c>
      <c r="B145" s="9"/>
      <c r="C145" s="243" t="s">
        <v>509</v>
      </c>
      <c r="D145" s="77">
        <f>D86</f>
        <v>0</v>
      </c>
      <c r="E145" s="77">
        <f aca="true" t="shared" si="29" ref="E145:J145">E86</f>
        <v>23000</v>
      </c>
      <c r="F145" s="77">
        <f t="shared" si="29"/>
        <v>0</v>
      </c>
      <c r="G145" s="77">
        <f t="shared" si="29"/>
        <v>16000</v>
      </c>
      <c r="H145" s="77">
        <f t="shared" si="29"/>
        <v>16000</v>
      </c>
      <c r="I145" s="77">
        <f t="shared" si="29"/>
        <v>0</v>
      </c>
      <c r="J145" s="77">
        <f t="shared" si="29"/>
        <v>55000</v>
      </c>
    </row>
    <row r="146" spans="1:10" s="3" customFormat="1" ht="13.5" thickBot="1">
      <c r="A146" s="5">
        <v>4</v>
      </c>
      <c r="B146" s="9"/>
      <c r="C146" s="243" t="s">
        <v>510</v>
      </c>
      <c r="D146" s="61">
        <f>D103</f>
        <v>0</v>
      </c>
      <c r="E146" s="61">
        <f aca="true" t="shared" si="30" ref="E146:J146">E103</f>
        <v>92000</v>
      </c>
      <c r="F146" s="61">
        <f t="shared" si="30"/>
        <v>0</v>
      </c>
      <c r="G146" s="61">
        <f t="shared" si="30"/>
        <v>10000</v>
      </c>
      <c r="H146" s="61">
        <f t="shared" si="30"/>
        <v>16000</v>
      </c>
      <c r="I146" s="61">
        <f t="shared" si="30"/>
        <v>0</v>
      </c>
      <c r="J146" s="61">
        <f t="shared" si="30"/>
        <v>118000</v>
      </c>
    </row>
    <row r="147" spans="1:10" s="3" customFormat="1" ht="39" thickBot="1">
      <c r="A147" s="5">
        <v>5</v>
      </c>
      <c r="B147" s="9"/>
      <c r="C147" s="244" t="s">
        <v>511</v>
      </c>
      <c r="D147" s="61">
        <f>D132</f>
        <v>0</v>
      </c>
      <c r="E147" s="61">
        <f aca="true" t="shared" si="31" ref="E147:J147">E132</f>
        <v>2000</v>
      </c>
      <c r="F147" s="61">
        <f t="shared" si="31"/>
        <v>15000</v>
      </c>
      <c r="G147" s="61">
        <f t="shared" si="31"/>
        <v>0</v>
      </c>
      <c r="H147" s="61">
        <f t="shared" si="31"/>
        <v>0</v>
      </c>
      <c r="I147" s="61">
        <f t="shared" si="31"/>
        <v>0</v>
      </c>
      <c r="J147" s="61">
        <f t="shared" si="31"/>
        <v>17000</v>
      </c>
    </row>
    <row r="148" spans="1:10" s="3" customFormat="1" ht="12.75">
      <c r="A148" s="5"/>
      <c r="B148" s="9"/>
      <c r="C148" s="116" t="s">
        <v>4</v>
      </c>
      <c r="D148" s="135">
        <f>D134</f>
        <v>0</v>
      </c>
      <c r="E148" s="135">
        <f aca="true" t="shared" si="32" ref="E148:J148">E134</f>
        <v>308400</v>
      </c>
      <c r="F148" s="135">
        <f t="shared" si="32"/>
        <v>40152.04</v>
      </c>
      <c r="G148" s="135">
        <f t="shared" si="32"/>
        <v>110000</v>
      </c>
      <c r="H148" s="135">
        <f t="shared" si="32"/>
        <v>104700</v>
      </c>
      <c r="I148" s="135">
        <f t="shared" si="32"/>
        <v>0</v>
      </c>
      <c r="J148" s="135">
        <f t="shared" si="32"/>
        <v>563252.04</v>
      </c>
    </row>
    <row r="149" spans="1:10" s="3" customFormat="1" ht="12.75">
      <c r="A149" s="5"/>
      <c r="B149" s="9"/>
      <c r="C149" s="116"/>
      <c r="D149" s="135"/>
      <c r="E149" s="135"/>
      <c r="F149" s="135"/>
      <c r="G149" s="135"/>
      <c r="H149" s="135"/>
      <c r="I149" s="135"/>
      <c r="J149" s="2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  <row r="423" spans="1:10" ht="15">
      <c r="A423" s="7"/>
      <c r="B423" s="10"/>
      <c r="C423" s="133"/>
      <c r="D423" s="157"/>
      <c r="E423" s="157"/>
      <c r="F423" s="157"/>
      <c r="G423" s="157"/>
      <c r="H423" s="157"/>
      <c r="I423" s="157"/>
      <c r="J423" s="1"/>
    </row>
    <row r="424" spans="1:10" ht="15">
      <c r="A424" s="7"/>
      <c r="B424" s="10"/>
      <c r="C424" s="133"/>
      <c r="D424" s="157"/>
      <c r="E424" s="157"/>
      <c r="F424" s="157"/>
      <c r="G424" s="157"/>
      <c r="H424" s="157"/>
      <c r="I424" s="157"/>
      <c r="J424" s="1"/>
    </row>
    <row r="425" spans="1:10" ht="15">
      <c r="A425" s="7"/>
      <c r="B425" s="10"/>
      <c r="C425" s="133"/>
      <c r="D425" s="157"/>
      <c r="E425" s="157"/>
      <c r="F425" s="157"/>
      <c r="G425" s="157"/>
      <c r="H425" s="157"/>
      <c r="I425" s="157"/>
      <c r="J425" s="1"/>
    </row>
    <row r="426" spans="1:10" ht="15">
      <c r="A426" s="7"/>
      <c r="B426" s="10"/>
      <c r="C426" s="133"/>
      <c r="D426" s="157"/>
      <c r="E426" s="157"/>
      <c r="F426" s="157"/>
      <c r="G426" s="157"/>
      <c r="H426" s="157"/>
      <c r="I426" s="157"/>
      <c r="J426" s="1"/>
    </row>
    <row r="427" spans="1:10" ht="15">
      <c r="A427" s="7"/>
      <c r="B427" s="10"/>
      <c r="C427" s="133"/>
      <c r="D427" s="157"/>
      <c r="E427" s="157"/>
      <c r="F427" s="157"/>
      <c r="G427" s="157"/>
      <c r="H427" s="157"/>
      <c r="I427" s="157"/>
      <c r="J427" s="1"/>
    </row>
    <row r="428" spans="1:10" ht="15">
      <c r="A428" s="7"/>
      <c r="B428" s="10"/>
      <c r="C428" s="133"/>
      <c r="D428" s="157"/>
      <c r="E428" s="157"/>
      <c r="F428" s="157"/>
      <c r="G428" s="157"/>
      <c r="H428" s="157"/>
      <c r="I428" s="157"/>
      <c r="J428" s="1"/>
    </row>
    <row r="429" spans="1:10" ht="15">
      <c r="A429" s="7"/>
      <c r="B429" s="10"/>
      <c r="C429" s="133"/>
      <c r="D429" s="157"/>
      <c r="E429" s="157"/>
      <c r="F429" s="157"/>
      <c r="G429" s="157"/>
      <c r="H429" s="157"/>
      <c r="I429" s="157"/>
      <c r="J429" s="1"/>
    </row>
    <row r="430" spans="1:10" ht="15">
      <c r="A430" s="7"/>
      <c r="B430" s="10"/>
      <c r="C430" s="133"/>
      <c r="D430" s="157"/>
      <c r="E430" s="157"/>
      <c r="F430" s="157"/>
      <c r="G430" s="157"/>
      <c r="H430" s="157"/>
      <c r="I430" s="157"/>
      <c r="J430" s="1"/>
    </row>
    <row r="431" spans="1:10" ht="15">
      <c r="A431" s="7"/>
      <c r="B431" s="10"/>
      <c r="C431" s="133"/>
      <c r="D431" s="157"/>
      <c r="E431" s="157"/>
      <c r="F431" s="157"/>
      <c r="G431" s="157"/>
      <c r="H431" s="157"/>
      <c r="I431" s="157"/>
      <c r="J431" s="1"/>
    </row>
    <row r="432" spans="1:10" ht="15">
      <c r="A432" s="7"/>
      <c r="B432" s="10"/>
      <c r="C432" s="133"/>
      <c r="D432" s="157"/>
      <c r="E432" s="157"/>
      <c r="F432" s="157"/>
      <c r="G432" s="157"/>
      <c r="H432" s="157"/>
      <c r="I432" s="157"/>
      <c r="J432" s="1"/>
    </row>
  </sheetData>
  <mergeCells count="3">
    <mergeCell ref="A11:C11"/>
    <mergeCell ref="A1:J1"/>
    <mergeCell ref="A142:C142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8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698"/>
  <sheetViews>
    <sheetView view="pageBreakPreview" zoomScale="150" zoomScaleSheetLayoutView="150" workbookViewId="0" topLeftCell="A102">
      <selection activeCell="A107" sqref="A107"/>
    </sheetView>
  </sheetViews>
  <sheetFormatPr defaultColWidth="8.796875" defaultRowHeight="15"/>
  <cols>
    <col min="1" max="1" width="29.69921875" style="181" customWidth="1"/>
    <col min="2" max="2" width="7.59765625" style="181" bestFit="1" customWidth="1"/>
    <col min="3" max="3" width="7.296875" style="181" bestFit="1" customWidth="1"/>
    <col min="4" max="4" width="10.09765625" style="181" bestFit="1" customWidth="1"/>
    <col min="5" max="5" width="10.8984375" style="181" bestFit="1" customWidth="1"/>
    <col min="6" max="6" width="6" style="181" bestFit="1" customWidth="1"/>
    <col min="7" max="7" width="6.3984375" style="181" bestFit="1" customWidth="1"/>
    <col min="8" max="8" width="6" style="181" bestFit="1" customWidth="1"/>
    <col min="9" max="9" width="13.796875" style="181" customWidth="1"/>
    <col min="10" max="11" width="7.09765625" style="181" customWidth="1"/>
    <col min="12" max="12" width="6.3984375" style="181" customWidth="1"/>
    <col min="13" max="16384" width="7.09765625" style="181" customWidth="1"/>
  </cols>
  <sheetData>
    <row r="1" spans="1:2" s="198" customFormat="1" ht="12.75" hidden="1">
      <c r="A1" s="197" t="s">
        <v>355</v>
      </c>
      <c r="B1" s="197"/>
    </row>
    <row r="2" s="198" customFormat="1" ht="12.75" hidden="1"/>
    <row r="3" spans="1:2" s="198" customFormat="1" ht="12.75" hidden="1">
      <c r="A3" s="197" t="s">
        <v>356</v>
      </c>
      <c r="B3" s="197"/>
    </row>
    <row r="4" spans="1:9" s="198" customFormat="1" ht="12.75" hidden="1">
      <c r="A4" s="182" t="s">
        <v>357</v>
      </c>
      <c r="B4" s="182" t="s">
        <v>358</v>
      </c>
      <c r="C4" s="182" t="s">
        <v>359</v>
      </c>
      <c r="D4" s="182" t="s">
        <v>360</v>
      </c>
      <c r="E4" s="182" t="s">
        <v>361</v>
      </c>
      <c r="F4" s="182" t="s">
        <v>231</v>
      </c>
      <c r="G4" s="182" t="s">
        <v>362</v>
      </c>
      <c r="H4" s="182" t="s">
        <v>4</v>
      </c>
      <c r="I4" s="183" t="s">
        <v>363</v>
      </c>
    </row>
    <row r="5" spans="1:9" s="198" customFormat="1" ht="12.75" hidden="1">
      <c r="A5" s="184" t="s">
        <v>364</v>
      </c>
      <c r="B5" s="185"/>
      <c r="C5" s="186"/>
      <c r="D5" s="186"/>
      <c r="E5" s="186"/>
      <c r="F5" s="186"/>
      <c r="G5" s="186"/>
      <c r="H5" s="186"/>
      <c r="I5" s="186"/>
    </row>
    <row r="6" spans="1:9" s="198" customFormat="1" ht="12.75" hidden="1">
      <c r="A6" s="185" t="s">
        <v>365</v>
      </c>
      <c r="B6" s="185" t="s">
        <v>366</v>
      </c>
      <c r="C6" s="187">
        <v>27</v>
      </c>
      <c r="D6" s="187">
        <f>B85</f>
        <v>625</v>
      </c>
      <c r="E6" s="187">
        <f>B84</f>
        <v>2500</v>
      </c>
      <c r="F6" s="187">
        <f aca="true" t="shared" si="0" ref="F6:F13">D6*C6</f>
        <v>16875</v>
      </c>
      <c r="G6" s="187">
        <f aca="true" t="shared" si="1" ref="G6:G13">C6*E6</f>
        <v>67500</v>
      </c>
      <c r="H6" s="187">
        <f aca="true" t="shared" si="2" ref="H6:H13">F6+G6</f>
        <v>84375</v>
      </c>
      <c r="I6" s="186"/>
    </row>
    <row r="7" spans="1:9" s="198" customFormat="1" ht="12.75" hidden="1">
      <c r="A7" s="185" t="s">
        <v>367</v>
      </c>
      <c r="B7" s="185" t="s">
        <v>368</v>
      </c>
      <c r="C7" s="187">
        <f>C6</f>
        <v>27</v>
      </c>
      <c r="D7" s="187"/>
      <c r="E7" s="187">
        <v>120</v>
      </c>
      <c r="F7" s="187">
        <f t="shared" si="0"/>
        <v>0</v>
      </c>
      <c r="G7" s="187">
        <f t="shared" si="1"/>
        <v>3240</v>
      </c>
      <c r="H7" s="187">
        <f t="shared" si="2"/>
        <v>3240</v>
      </c>
      <c r="I7" s="186"/>
    </row>
    <row r="8" spans="1:9" s="198" customFormat="1" ht="12.75" hidden="1">
      <c r="A8" s="185" t="s">
        <v>369</v>
      </c>
      <c r="B8" s="185" t="s">
        <v>370</v>
      </c>
      <c r="C8" s="187">
        <f>C6</f>
        <v>27</v>
      </c>
      <c r="D8" s="187"/>
      <c r="E8" s="187">
        <v>50</v>
      </c>
      <c r="F8" s="187">
        <f t="shared" si="0"/>
        <v>0</v>
      </c>
      <c r="G8" s="187">
        <f t="shared" si="1"/>
        <v>1350</v>
      </c>
      <c r="H8" s="187">
        <f t="shared" si="2"/>
        <v>1350</v>
      </c>
      <c r="I8" s="186"/>
    </row>
    <row r="9" spans="1:9" s="198" customFormat="1" ht="25.5" hidden="1">
      <c r="A9" s="185" t="s">
        <v>371</v>
      </c>
      <c r="B9" s="185" t="s">
        <v>370</v>
      </c>
      <c r="C9" s="187">
        <v>15</v>
      </c>
      <c r="D9" s="187"/>
      <c r="E9" s="187">
        <v>175</v>
      </c>
      <c r="F9" s="187">
        <f t="shared" si="0"/>
        <v>0</v>
      </c>
      <c r="G9" s="187">
        <f t="shared" si="1"/>
        <v>2625</v>
      </c>
      <c r="H9" s="187">
        <f t="shared" si="2"/>
        <v>2625</v>
      </c>
      <c r="I9" s="186"/>
    </row>
    <row r="10" spans="1:9" s="198" customFormat="1" ht="12.75" hidden="1">
      <c r="A10" s="185" t="s">
        <v>372</v>
      </c>
      <c r="B10" s="185" t="s">
        <v>370</v>
      </c>
      <c r="C10" s="187">
        <f>C9</f>
        <v>15</v>
      </c>
      <c r="D10" s="187">
        <v>200</v>
      </c>
      <c r="E10" s="187"/>
      <c r="F10" s="187">
        <f t="shared" si="0"/>
        <v>3000</v>
      </c>
      <c r="G10" s="187">
        <f t="shared" si="1"/>
        <v>0</v>
      </c>
      <c r="H10" s="187">
        <f t="shared" si="2"/>
        <v>3000</v>
      </c>
      <c r="I10" s="186"/>
    </row>
    <row r="11" spans="1:9" s="198" customFormat="1" ht="25.5" hidden="1">
      <c r="A11" s="185" t="s">
        <v>373</v>
      </c>
      <c r="B11" s="185" t="s">
        <v>370</v>
      </c>
      <c r="C11" s="187">
        <f>C10</f>
        <v>15</v>
      </c>
      <c r="D11" s="187">
        <v>600</v>
      </c>
      <c r="E11" s="187"/>
      <c r="F11" s="187">
        <f t="shared" si="0"/>
        <v>9000</v>
      </c>
      <c r="G11" s="187">
        <f t="shared" si="1"/>
        <v>0</v>
      </c>
      <c r="H11" s="187">
        <f t="shared" si="2"/>
        <v>9000</v>
      </c>
      <c r="I11" s="186"/>
    </row>
    <row r="12" spans="1:9" s="198" customFormat="1" ht="12.75" hidden="1">
      <c r="A12" s="185" t="s">
        <v>374</v>
      </c>
      <c r="B12" s="185"/>
      <c r="C12" s="187">
        <f>C8</f>
        <v>27</v>
      </c>
      <c r="D12" s="187">
        <v>50</v>
      </c>
      <c r="E12" s="187"/>
      <c r="F12" s="187">
        <f t="shared" si="0"/>
        <v>1350</v>
      </c>
      <c r="G12" s="187">
        <f t="shared" si="1"/>
        <v>0</v>
      </c>
      <c r="H12" s="187">
        <f t="shared" si="2"/>
        <v>1350</v>
      </c>
      <c r="I12" s="186"/>
    </row>
    <row r="13" spans="1:9" s="198" customFormat="1" ht="12.75" hidden="1">
      <c r="A13" s="185" t="s">
        <v>375</v>
      </c>
      <c r="B13" s="185" t="s">
        <v>370</v>
      </c>
      <c r="C13" s="187">
        <v>1</v>
      </c>
      <c r="D13" s="187">
        <f>3*10*D6/20</f>
        <v>937.5</v>
      </c>
      <c r="E13" s="187">
        <f>3*10*E6/20</f>
        <v>3750</v>
      </c>
      <c r="F13" s="187">
        <f t="shared" si="0"/>
        <v>937.5</v>
      </c>
      <c r="G13" s="187">
        <f t="shared" si="1"/>
        <v>3750</v>
      </c>
      <c r="H13" s="187">
        <f t="shared" si="2"/>
        <v>4687.5</v>
      </c>
      <c r="I13" s="186"/>
    </row>
    <row r="14" spans="1:9" s="198" customFormat="1" ht="12.75" hidden="1">
      <c r="A14" s="184" t="s">
        <v>376</v>
      </c>
      <c r="B14" s="185"/>
      <c r="C14" s="187"/>
      <c r="D14" s="187"/>
      <c r="E14" s="187"/>
      <c r="F14" s="187"/>
      <c r="G14" s="187"/>
      <c r="H14" s="187"/>
      <c r="I14" s="186"/>
    </row>
    <row r="15" spans="1:9" s="198" customFormat="1" ht="12.75" hidden="1">
      <c r="A15" s="185" t="s">
        <v>377</v>
      </c>
      <c r="B15" s="185" t="s">
        <v>378</v>
      </c>
      <c r="C15" s="187">
        <v>5</v>
      </c>
      <c r="D15" s="187"/>
      <c r="E15" s="187">
        <f>2.5*B83*4</f>
        <v>1000</v>
      </c>
      <c r="F15" s="187">
        <f>D15*C15</f>
        <v>0</v>
      </c>
      <c r="G15" s="187">
        <f>C15*E15</f>
        <v>5000</v>
      </c>
      <c r="H15" s="187">
        <f>F15+G15</f>
        <v>5000</v>
      </c>
      <c r="I15" s="186"/>
    </row>
    <row r="16" spans="1:9" s="198" customFormat="1" ht="12.75" hidden="1">
      <c r="A16" s="185" t="s">
        <v>379</v>
      </c>
      <c r="B16" s="185" t="s">
        <v>380</v>
      </c>
      <c r="C16" s="187">
        <f>C15</f>
        <v>5</v>
      </c>
      <c r="D16" s="187"/>
      <c r="E16" s="187">
        <f>2.5*4*80</f>
        <v>800</v>
      </c>
      <c r="F16" s="187">
        <f>D16*C16</f>
        <v>0</v>
      </c>
      <c r="G16" s="187">
        <f>C16*E16</f>
        <v>4000</v>
      </c>
      <c r="H16" s="187">
        <f>F16+G16</f>
        <v>4000</v>
      </c>
      <c r="I16" s="186"/>
    </row>
    <row r="17" spans="1:9" s="198" customFormat="1" ht="12.75" hidden="1">
      <c r="A17" s="185" t="s">
        <v>381</v>
      </c>
      <c r="B17" s="185" t="s">
        <v>380</v>
      </c>
      <c r="C17" s="187">
        <f>C16</f>
        <v>5</v>
      </c>
      <c r="D17" s="187"/>
      <c r="E17" s="187">
        <f>400*4</f>
        <v>1600</v>
      </c>
      <c r="F17" s="187">
        <f>D17*C17</f>
        <v>0</v>
      </c>
      <c r="G17" s="187">
        <f>C17*E17</f>
        <v>8000</v>
      </c>
      <c r="H17" s="187">
        <f>F17+G17</f>
        <v>8000</v>
      </c>
      <c r="I17" s="186"/>
    </row>
    <row r="18" spans="1:9" s="198" customFormat="1" ht="12.75" hidden="1">
      <c r="A18" s="184" t="s">
        <v>382</v>
      </c>
      <c r="B18" s="185"/>
      <c r="C18" s="187"/>
      <c r="D18" s="187"/>
      <c r="E18" s="187"/>
      <c r="F18" s="187"/>
      <c r="G18" s="187"/>
      <c r="H18" s="187"/>
      <c r="I18" s="186"/>
    </row>
    <row r="19" spans="1:9" s="198" customFormat="1" ht="12.75" hidden="1">
      <c r="A19" s="185" t="s">
        <v>435</v>
      </c>
      <c r="B19" s="185" t="s">
        <v>383</v>
      </c>
      <c r="C19" s="187">
        <f>3*2*4+42</f>
        <v>66</v>
      </c>
      <c r="D19" s="187"/>
      <c r="E19" s="187">
        <f>250</f>
        <v>250</v>
      </c>
      <c r="F19" s="187">
        <f aca="true" t="shared" si="3" ref="F19:F34">D19*C19</f>
        <v>0</v>
      </c>
      <c r="G19" s="187">
        <f aca="true" t="shared" si="4" ref="G19:G34">C19*E19</f>
        <v>16500</v>
      </c>
      <c r="H19" s="187">
        <f aca="true" t="shared" si="5" ref="H19:H34">F19+G19</f>
        <v>16500</v>
      </c>
      <c r="I19" s="186"/>
    </row>
    <row r="20" spans="1:9" s="198" customFormat="1" ht="12.75" hidden="1">
      <c r="A20" s="185" t="s">
        <v>433</v>
      </c>
      <c r="B20" s="185" t="s">
        <v>368</v>
      </c>
      <c r="C20" s="187">
        <v>3</v>
      </c>
      <c r="D20" s="187"/>
      <c r="E20" s="187">
        <f>2000+1000</f>
        <v>3000</v>
      </c>
      <c r="F20" s="187">
        <f t="shared" si="3"/>
        <v>0</v>
      </c>
      <c r="G20" s="187">
        <f t="shared" si="4"/>
        <v>9000</v>
      </c>
      <c r="H20" s="187">
        <f t="shared" si="5"/>
        <v>9000</v>
      </c>
      <c r="I20" s="186"/>
    </row>
    <row r="21" spans="1:9" s="198" customFormat="1" ht="12.75" hidden="1">
      <c r="A21" s="185" t="s">
        <v>384</v>
      </c>
      <c r="B21" s="185" t="s">
        <v>368</v>
      </c>
      <c r="C21" s="187">
        <v>3</v>
      </c>
      <c r="D21" s="187"/>
      <c r="E21" s="187">
        <v>2000</v>
      </c>
      <c r="F21" s="187">
        <f t="shared" si="3"/>
        <v>0</v>
      </c>
      <c r="G21" s="187">
        <f t="shared" si="4"/>
        <v>6000</v>
      </c>
      <c r="H21" s="187">
        <f t="shared" si="5"/>
        <v>6000</v>
      </c>
      <c r="I21" s="186"/>
    </row>
    <row r="22" spans="1:9" s="198" customFormat="1" ht="12.75" hidden="1">
      <c r="A22" s="185" t="s">
        <v>385</v>
      </c>
      <c r="B22" s="185" t="s">
        <v>383</v>
      </c>
      <c r="C22" s="187">
        <f>3*4</f>
        <v>12</v>
      </c>
      <c r="D22" s="187"/>
      <c r="E22" s="187">
        <f>20*B83</f>
        <v>2000</v>
      </c>
      <c r="F22" s="187">
        <f t="shared" si="3"/>
        <v>0</v>
      </c>
      <c r="G22" s="187">
        <f t="shared" si="4"/>
        <v>24000</v>
      </c>
      <c r="H22" s="187">
        <f t="shared" si="5"/>
        <v>24000</v>
      </c>
      <c r="I22" s="186"/>
    </row>
    <row r="23" spans="1:9" s="198" customFormat="1" ht="12.75" hidden="1">
      <c r="A23" s="185" t="s">
        <v>386</v>
      </c>
      <c r="B23" s="185" t="s">
        <v>383</v>
      </c>
      <c r="C23" s="187">
        <f>3*4</f>
        <v>12</v>
      </c>
      <c r="D23" s="187"/>
      <c r="E23" s="187">
        <f>E22</f>
        <v>2000</v>
      </c>
      <c r="F23" s="187">
        <f t="shared" si="3"/>
        <v>0</v>
      </c>
      <c r="G23" s="187">
        <f t="shared" si="4"/>
        <v>24000</v>
      </c>
      <c r="H23" s="187">
        <f t="shared" si="5"/>
        <v>24000</v>
      </c>
      <c r="I23" s="186"/>
    </row>
    <row r="24" spans="1:9" s="198" customFormat="1" ht="25.5" hidden="1">
      <c r="A24" s="185" t="s">
        <v>387</v>
      </c>
      <c r="B24" s="185" t="s">
        <v>383</v>
      </c>
      <c r="C24" s="187">
        <f>3*4</f>
        <v>12</v>
      </c>
      <c r="D24" s="187"/>
      <c r="E24" s="187">
        <v>600</v>
      </c>
      <c r="F24" s="187">
        <f t="shared" si="3"/>
        <v>0</v>
      </c>
      <c r="G24" s="187">
        <f t="shared" si="4"/>
        <v>7200</v>
      </c>
      <c r="H24" s="187">
        <f t="shared" si="5"/>
        <v>7200</v>
      </c>
      <c r="I24" s="186"/>
    </row>
    <row r="25" spans="1:9" s="198" customFormat="1" ht="12.75" hidden="1">
      <c r="A25" s="185" t="s">
        <v>388</v>
      </c>
      <c r="B25" s="185" t="s">
        <v>389</v>
      </c>
      <c r="C25" s="187">
        <v>4</v>
      </c>
      <c r="D25" s="187"/>
      <c r="E25" s="187">
        <v>10000</v>
      </c>
      <c r="F25" s="187">
        <f t="shared" si="3"/>
        <v>0</v>
      </c>
      <c r="G25" s="187">
        <f t="shared" si="4"/>
        <v>40000</v>
      </c>
      <c r="H25" s="187">
        <f t="shared" si="5"/>
        <v>40000</v>
      </c>
      <c r="I25" s="186"/>
    </row>
    <row r="26" spans="1:9" s="198" customFormat="1" ht="12.75" hidden="1">
      <c r="A26" s="185" t="s">
        <v>390</v>
      </c>
      <c r="B26" s="185" t="s">
        <v>383</v>
      </c>
      <c r="C26" s="187">
        <v>42</v>
      </c>
      <c r="D26" s="187"/>
      <c r="E26" s="187">
        <v>200</v>
      </c>
      <c r="F26" s="187">
        <f t="shared" si="3"/>
        <v>0</v>
      </c>
      <c r="G26" s="187">
        <f t="shared" si="4"/>
        <v>8400</v>
      </c>
      <c r="H26" s="187">
        <f t="shared" si="5"/>
        <v>8400</v>
      </c>
      <c r="I26" s="186"/>
    </row>
    <row r="27" spans="1:9" s="198" customFormat="1" ht="12.75" hidden="1">
      <c r="A27" s="185" t="s">
        <v>391</v>
      </c>
      <c r="B27" s="185" t="s">
        <v>383</v>
      </c>
      <c r="C27" s="187">
        <v>42</v>
      </c>
      <c r="D27" s="187"/>
      <c r="E27" s="187">
        <v>100</v>
      </c>
      <c r="F27" s="187">
        <f t="shared" si="3"/>
        <v>0</v>
      </c>
      <c r="G27" s="187">
        <f t="shared" si="4"/>
        <v>4200</v>
      </c>
      <c r="H27" s="187">
        <f t="shared" si="5"/>
        <v>4200</v>
      </c>
      <c r="I27" s="186"/>
    </row>
    <row r="28" spans="1:9" s="198" customFormat="1" ht="25.5" hidden="1">
      <c r="A28" s="185" t="s">
        <v>392</v>
      </c>
      <c r="B28" s="185" t="s">
        <v>389</v>
      </c>
      <c r="C28" s="187">
        <v>4</v>
      </c>
      <c r="D28" s="187">
        <v>30000</v>
      </c>
      <c r="E28" s="187"/>
      <c r="F28" s="187">
        <f t="shared" si="3"/>
        <v>120000</v>
      </c>
      <c r="G28" s="187">
        <f t="shared" si="4"/>
        <v>0</v>
      </c>
      <c r="H28" s="187">
        <f t="shared" si="5"/>
        <v>120000</v>
      </c>
      <c r="I28" s="186"/>
    </row>
    <row r="29" spans="1:9" s="198" customFormat="1" ht="25.5" hidden="1">
      <c r="A29" s="185" t="s">
        <v>393</v>
      </c>
      <c r="B29" s="185" t="s">
        <v>389</v>
      </c>
      <c r="C29" s="187">
        <v>4</v>
      </c>
      <c r="D29" s="187">
        <v>2000</v>
      </c>
      <c r="E29" s="187">
        <v>5000</v>
      </c>
      <c r="F29" s="187">
        <f t="shared" si="3"/>
        <v>8000</v>
      </c>
      <c r="G29" s="187">
        <f t="shared" si="4"/>
        <v>20000</v>
      </c>
      <c r="H29" s="187">
        <f t="shared" si="5"/>
        <v>28000</v>
      </c>
      <c r="I29" s="186"/>
    </row>
    <row r="30" spans="1:9" s="198" customFormat="1" ht="12.75" hidden="1">
      <c r="A30" s="185" t="s">
        <v>394</v>
      </c>
      <c r="B30" s="185" t="s">
        <v>395</v>
      </c>
      <c r="C30" s="187">
        <v>1</v>
      </c>
      <c r="D30" s="187">
        <v>7000</v>
      </c>
      <c r="E30" s="187"/>
      <c r="F30" s="187">
        <f t="shared" si="3"/>
        <v>7000</v>
      </c>
      <c r="G30" s="187">
        <f t="shared" si="4"/>
        <v>0</v>
      </c>
      <c r="H30" s="187">
        <f t="shared" si="5"/>
        <v>7000</v>
      </c>
      <c r="I30" s="186"/>
    </row>
    <row r="31" spans="1:9" s="198" customFormat="1" ht="38.25" hidden="1">
      <c r="A31" s="185" t="s">
        <v>2</v>
      </c>
      <c r="B31" s="185" t="s">
        <v>395</v>
      </c>
      <c r="C31" s="187">
        <v>1</v>
      </c>
      <c r="D31" s="187">
        <v>7000</v>
      </c>
      <c r="E31" s="187"/>
      <c r="F31" s="187">
        <f t="shared" si="3"/>
        <v>7000</v>
      </c>
      <c r="G31" s="187">
        <f t="shared" si="4"/>
        <v>0</v>
      </c>
      <c r="H31" s="187">
        <f t="shared" si="5"/>
        <v>7000</v>
      </c>
      <c r="I31" s="186"/>
    </row>
    <row r="32" spans="1:9" s="198" customFormat="1" ht="38.25" hidden="1">
      <c r="A32" s="185" t="s">
        <v>396</v>
      </c>
      <c r="B32" s="185" t="s">
        <v>370</v>
      </c>
      <c r="C32" s="187">
        <v>1</v>
      </c>
      <c r="D32" s="187">
        <v>15000</v>
      </c>
      <c r="E32" s="187">
        <v>10000</v>
      </c>
      <c r="F32" s="187">
        <f t="shared" si="3"/>
        <v>15000</v>
      </c>
      <c r="G32" s="187">
        <f t="shared" si="4"/>
        <v>10000</v>
      </c>
      <c r="H32" s="187">
        <f t="shared" si="5"/>
        <v>25000</v>
      </c>
      <c r="I32" s="186"/>
    </row>
    <row r="33" spans="1:9" s="198" customFormat="1" ht="25.5" hidden="1">
      <c r="A33" s="185" t="s">
        <v>431</v>
      </c>
      <c r="B33" s="185" t="s">
        <v>370</v>
      </c>
      <c r="C33" s="187">
        <v>1</v>
      </c>
      <c r="D33" s="187">
        <v>10000</v>
      </c>
      <c r="E33" s="187">
        <v>15000</v>
      </c>
      <c r="F33" s="187">
        <f>D33*C33</f>
        <v>10000</v>
      </c>
      <c r="G33" s="187">
        <f>C33*E33</f>
        <v>15000</v>
      </c>
      <c r="H33" s="187">
        <f>F33+G33</f>
        <v>25000</v>
      </c>
      <c r="I33" s="186"/>
    </row>
    <row r="34" spans="1:9" s="198" customFormat="1" ht="15.75" customHeight="1" hidden="1">
      <c r="A34" s="185" t="s">
        <v>432</v>
      </c>
      <c r="B34" s="185" t="s">
        <v>370</v>
      </c>
      <c r="C34" s="187">
        <v>1</v>
      </c>
      <c r="D34" s="187">
        <v>10000</v>
      </c>
      <c r="E34" s="187">
        <v>15000</v>
      </c>
      <c r="F34" s="187">
        <f t="shared" si="3"/>
        <v>10000</v>
      </c>
      <c r="G34" s="187">
        <f t="shared" si="4"/>
        <v>15000</v>
      </c>
      <c r="H34" s="187">
        <f t="shared" si="5"/>
        <v>25000</v>
      </c>
      <c r="I34" s="186"/>
    </row>
    <row r="35" spans="1:9" s="198" customFormat="1" ht="12.75" hidden="1">
      <c r="A35" s="185" t="s">
        <v>397</v>
      </c>
      <c r="B35" s="185" t="s">
        <v>398</v>
      </c>
      <c r="C35" s="187">
        <v>4</v>
      </c>
      <c r="D35" s="187">
        <f>3*SUM(E7:E9)+SUM(D10:D11)+3*D12</f>
        <v>1985</v>
      </c>
      <c r="E35" s="187">
        <f>3*E6</f>
        <v>7500</v>
      </c>
      <c r="F35" s="187">
        <f>D35*C35</f>
        <v>7940</v>
      </c>
      <c r="G35" s="187">
        <f>C35*E35</f>
        <v>30000</v>
      </c>
      <c r="H35" s="187">
        <f>F35+G35</f>
        <v>37940</v>
      </c>
      <c r="I35" s="186"/>
    </row>
    <row r="36" spans="1:9" s="198" customFormat="1" ht="12.75" hidden="1">
      <c r="A36" s="188" t="s">
        <v>399</v>
      </c>
      <c r="B36" s="188"/>
      <c r="C36" s="189"/>
      <c r="D36" s="189"/>
      <c r="E36" s="189"/>
      <c r="F36" s="189">
        <f>SUM(F5:F35)</f>
        <v>216102.5</v>
      </c>
      <c r="G36" s="189">
        <f>SUM(G5:G35)</f>
        <v>324765</v>
      </c>
      <c r="H36" s="189">
        <f>SUM(H5:H35)</f>
        <v>540867.5</v>
      </c>
      <c r="I36" s="186"/>
    </row>
    <row r="37" s="198" customFormat="1" ht="12.75" hidden="1"/>
    <row r="38" s="198" customFormat="1" ht="12.75" hidden="1"/>
    <row r="39" s="198" customFormat="1" ht="12.75" hidden="1">
      <c r="A39" s="197" t="s">
        <v>400</v>
      </c>
    </row>
    <row r="40" spans="1:5" s="198" customFormat="1" ht="12.75" hidden="1">
      <c r="A40" s="182" t="s">
        <v>357</v>
      </c>
      <c r="B40" s="182" t="s">
        <v>231</v>
      </c>
      <c r="C40" s="182" t="s">
        <v>362</v>
      </c>
      <c r="D40" s="182" t="s">
        <v>4</v>
      </c>
      <c r="E40" s="183" t="s">
        <v>363</v>
      </c>
    </row>
    <row r="41" spans="1:5" s="198" customFormat="1" ht="12.75" hidden="1">
      <c r="A41" s="185" t="s">
        <v>322</v>
      </c>
      <c r="B41" s="187">
        <f>'DP2'!G137</f>
        <v>19050</v>
      </c>
      <c r="C41" s="187">
        <f>'DP2'!H137</f>
        <v>38640</v>
      </c>
      <c r="D41" s="187">
        <f aca="true" t="shared" si="6" ref="D41:D46">B41+C41</f>
        <v>57690</v>
      </c>
      <c r="E41" s="186"/>
    </row>
    <row r="42" spans="1:5" s="198" customFormat="1" ht="12.75" hidden="1">
      <c r="A42" s="185" t="s">
        <v>331</v>
      </c>
      <c r="B42" s="187">
        <f>'DP1'!G128</f>
        <v>0</v>
      </c>
      <c r="C42" s="187">
        <f>'DP1'!H128</f>
        <v>0</v>
      </c>
      <c r="D42" s="187">
        <f t="shared" si="6"/>
        <v>0</v>
      </c>
      <c r="E42" s="186"/>
    </row>
    <row r="43" spans="1:5" s="198" customFormat="1" ht="12.75" hidden="1">
      <c r="A43" s="185" t="s">
        <v>332</v>
      </c>
      <c r="B43" s="187">
        <f>'DP3'!G135</f>
        <v>66000</v>
      </c>
      <c r="C43" s="187">
        <f>'DP3'!H135</f>
        <v>62820</v>
      </c>
      <c r="D43" s="187">
        <f t="shared" si="6"/>
        <v>128820</v>
      </c>
      <c r="E43" s="186"/>
    </row>
    <row r="44" spans="1:5" s="198" customFormat="1" ht="12.75" hidden="1">
      <c r="A44" s="185" t="s">
        <v>333</v>
      </c>
      <c r="B44" s="187">
        <f>'DP3'!G136</f>
        <v>44000</v>
      </c>
      <c r="C44" s="187">
        <f>'DP3'!H136</f>
        <v>41880</v>
      </c>
      <c r="D44" s="187">
        <f t="shared" si="6"/>
        <v>85880</v>
      </c>
      <c r="E44" s="186"/>
    </row>
    <row r="45" spans="1:5" s="198" customFormat="1" ht="12.75" hidden="1">
      <c r="A45" s="185" t="s">
        <v>325</v>
      </c>
      <c r="B45" s="187">
        <f>'DP1'!G127</f>
        <v>0</v>
      </c>
      <c r="C45" s="187">
        <f>'DP1'!H127</f>
        <v>0</v>
      </c>
      <c r="D45" s="187">
        <f t="shared" si="6"/>
        <v>0</v>
      </c>
      <c r="E45" s="186"/>
    </row>
    <row r="46" spans="1:5" s="198" customFormat="1" ht="12.75" hidden="1">
      <c r="A46" s="185" t="s">
        <v>321</v>
      </c>
      <c r="B46" s="187">
        <f>'DP2'!G136</f>
        <v>44450</v>
      </c>
      <c r="C46" s="187">
        <f>'DP2'!H136</f>
        <v>90160</v>
      </c>
      <c r="D46" s="187">
        <f t="shared" si="6"/>
        <v>134610</v>
      </c>
      <c r="E46" s="186"/>
    </row>
    <row r="47" spans="1:5" s="198" customFormat="1" ht="12.75" hidden="1">
      <c r="A47" s="188" t="s">
        <v>399</v>
      </c>
      <c r="B47" s="189">
        <f>SUM(B41:B46)</f>
        <v>173500</v>
      </c>
      <c r="C47" s="189">
        <f>SUM(C41:C46)</f>
        <v>233500</v>
      </c>
      <c r="D47" s="189">
        <f>SUM(D41:D46)</f>
        <v>407000</v>
      </c>
      <c r="E47" s="186"/>
    </row>
    <row r="48" spans="1:5" s="198" customFormat="1" ht="12.75" hidden="1">
      <c r="A48" s="190"/>
      <c r="B48" s="191"/>
      <c r="C48" s="191"/>
      <c r="D48" s="191"/>
      <c r="E48" s="199"/>
    </row>
    <row r="49" s="198" customFormat="1" ht="12.75" hidden="1"/>
    <row r="50" spans="1:2" s="198" customFormat="1" ht="12.75" hidden="1">
      <c r="A50" s="197" t="s">
        <v>401</v>
      </c>
      <c r="B50" s="197"/>
    </row>
    <row r="51" spans="1:9" s="198" customFormat="1" ht="12.75" hidden="1">
      <c r="A51" s="182" t="s">
        <v>402</v>
      </c>
      <c r="B51" s="182" t="s">
        <v>358</v>
      </c>
      <c r="C51" s="182" t="s">
        <v>359</v>
      </c>
      <c r="D51" s="182" t="s">
        <v>360</v>
      </c>
      <c r="E51" s="182" t="s">
        <v>361</v>
      </c>
      <c r="F51" s="182" t="s">
        <v>231</v>
      </c>
      <c r="G51" s="182" t="s">
        <v>362</v>
      </c>
      <c r="H51" s="182" t="s">
        <v>4</v>
      </c>
      <c r="I51" s="183" t="s">
        <v>363</v>
      </c>
    </row>
    <row r="52" spans="1:9" s="198" customFormat="1" ht="12.75" hidden="1">
      <c r="A52" s="185" t="s">
        <v>403</v>
      </c>
      <c r="B52" s="185" t="s">
        <v>383</v>
      </c>
      <c r="C52" s="187">
        <v>48</v>
      </c>
      <c r="D52" s="187"/>
      <c r="E52" s="187">
        <v>3000</v>
      </c>
      <c r="F52" s="187">
        <f>D52*C52</f>
        <v>0</v>
      </c>
      <c r="G52" s="187">
        <f>C52*E52</f>
        <v>144000</v>
      </c>
      <c r="H52" s="187">
        <f>F52+G52</f>
        <v>144000</v>
      </c>
      <c r="I52" s="186"/>
    </row>
    <row r="53" spans="1:9" s="198" customFormat="1" ht="12.75" hidden="1">
      <c r="A53" s="185" t="s">
        <v>433</v>
      </c>
      <c r="B53" s="185" t="s">
        <v>368</v>
      </c>
      <c r="C53" s="187">
        <v>4</v>
      </c>
      <c r="D53" s="187"/>
      <c r="E53" s="187">
        <f>2000+800</f>
        <v>2800</v>
      </c>
      <c r="F53" s="187">
        <f>D53*C53</f>
        <v>0</v>
      </c>
      <c r="G53" s="187">
        <f>C53*E53</f>
        <v>11200</v>
      </c>
      <c r="H53" s="187">
        <f>F53+G53</f>
        <v>11200</v>
      </c>
      <c r="I53" s="186"/>
    </row>
    <row r="54" spans="1:9" s="198" customFormat="1" ht="25.5" hidden="1">
      <c r="A54" s="185" t="s">
        <v>387</v>
      </c>
      <c r="B54" s="185" t="s">
        <v>383</v>
      </c>
      <c r="C54" s="187">
        <f>C52</f>
        <v>48</v>
      </c>
      <c r="D54" s="187"/>
      <c r="E54" s="187">
        <f>400+70+50</f>
        <v>520</v>
      </c>
      <c r="F54" s="187">
        <f>D54*C54</f>
        <v>0</v>
      </c>
      <c r="G54" s="187">
        <f>C54*E54</f>
        <v>24960</v>
      </c>
      <c r="H54" s="187">
        <f>F54+G54</f>
        <v>24960</v>
      </c>
      <c r="I54" s="186"/>
    </row>
    <row r="55" spans="1:9" s="198" customFormat="1" ht="12.75" hidden="1">
      <c r="A55" s="185" t="s">
        <v>434</v>
      </c>
      <c r="B55" s="185" t="s">
        <v>383</v>
      </c>
      <c r="C55" s="187">
        <f>C54</f>
        <v>48</v>
      </c>
      <c r="D55" s="187"/>
      <c r="E55" s="187">
        <f>400+50</f>
        <v>450</v>
      </c>
      <c r="F55" s="187">
        <f>D55*C55</f>
        <v>0</v>
      </c>
      <c r="G55" s="187">
        <f>C55*E55</f>
        <v>21600</v>
      </c>
      <c r="H55" s="187">
        <f>F55+G55</f>
        <v>21600</v>
      </c>
      <c r="I55" s="186"/>
    </row>
    <row r="56" spans="1:9" s="198" customFormat="1" ht="12.75" hidden="1">
      <c r="A56" s="185" t="s">
        <v>391</v>
      </c>
      <c r="B56" s="185" t="s">
        <v>383</v>
      </c>
      <c r="C56" s="187">
        <f>C55</f>
        <v>48</v>
      </c>
      <c r="D56" s="187"/>
      <c r="E56" s="187">
        <f>150+200</f>
        <v>350</v>
      </c>
      <c r="F56" s="187">
        <f>D56*C56</f>
        <v>0</v>
      </c>
      <c r="G56" s="187">
        <f>C56*E56</f>
        <v>16800</v>
      </c>
      <c r="H56" s="187">
        <f>F56+G56</f>
        <v>16800</v>
      </c>
      <c r="I56" s="186"/>
    </row>
    <row r="57" spans="1:9" s="198" customFormat="1" ht="12.75" hidden="1">
      <c r="A57" s="188" t="s">
        <v>399</v>
      </c>
      <c r="B57" s="188"/>
      <c r="C57" s="189"/>
      <c r="D57" s="189"/>
      <c r="E57" s="189"/>
      <c r="F57" s="189">
        <f>SUM(F52:F56)</f>
        <v>0</v>
      </c>
      <c r="G57" s="189">
        <f>SUM(G52:G56)</f>
        <v>218560</v>
      </c>
      <c r="H57" s="189">
        <f>SUM(H52:H56)</f>
        <v>218560</v>
      </c>
      <c r="I57" s="186"/>
    </row>
    <row r="58" spans="1:9" s="198" customFormat="1" ht="12.75" hidden="1">
      <c r="A58" s="190"/>
      <c r="B58" s="190"/>
      <c r="C58" s="191"/>
      <c r="D58" s="191"/>
      <c r="E58" s="191"/>
      <c r="F58" s="191"/>
      <c r="G58" s="191"/>
      <c r="H58" s="191"/>
      <c r="I58" s="199"/>
    </row>
    <row r="59" spans="1:9" s="198" customFormat="1" ht="12.75" hidden="1">
      <c r="A59" s="190"/>
      <c r="B59" s="190"/>
      <c r="C59" s="191"/>
      <c r="D59" s="191"/>
      <c r="E59" s="191"/>
      <c r="F59" s="191"/>
      <c r="G59" s="191"/>
      <c r="H59" s="191"/>
      <c r="I59" s="199"/>
    </row>
    <row r="60" s="198" customFormat="1" ht="12.75" hidden="1">
      <c r="A60" s="197" t="s">
        <v>404</v>
      </c>
    </row>
    <row r="61" spans="1:5" s="198" customFormat="1" ht="12.75" hidden="1">
      <c r="A61" s="182" t="s">
        <v>357</v>
      </c>
      <c r="B61" s="182" t="s">
        <v>231</v>
      </c>
      <c r="C61" s="182" t="s">
        <v>362</v>
      </c>
      <c r="D61" s="182" t="s">
        <v>4</v>
      </c>
      <c r="E61" s="183" t="s">
        <v>363</v>
      </c>
    </row>
    <row r="62" spans="1:5" s="198" customFormat="1" ht="12.75" hidden="1">
      <c r="A62" s="185" t="s">
        <v>322</v>
      </c>
      <c r="B62" s="187">
        <f>$F$36+B41</f>
        <v>235152.5</v>
      </c>
      <c r="C62" s="187">
        <f>$G$36+C41</f>
        <v>363405</v>
      </c>
      <c r="D62" s="187">
        <f aca="true" t="shared" si="7" ref="D62:D67">B62+C62</f>
        <v>598557.5</v>
      </c>
      <c r="E62" s="186"/>
    </row>
    <row r="63" spans="1:5" s="198" customFormat="1" ht="12.75" hidden="1">
      <c r="A63" s="185" t="s">
        <v>331</v>
      </c>
      <c r="B63" s="187">
        <f>$F$36+B42</f>
        <v>216102.5</v>
      </c>
      <c r="C63" s="187">
        <f>$G$36+C42</f>
        <v>324765</v>
      </c>
      <c r="D63" s="187">
        <f t="shared" si="7"/>
        <v>540867.5</v>
      </c>
      <c r="E63" s="186"/>
    </row>
    <row r="64" spans="1:5" s="198" customFormat="1" ht="12.75" hidden="1">
      <c r="A64" s="185" t="s">
        <v>332</v>
      </c>
      <c r="B64" s="187">
        <f>$F$36+B43</f>
        <v>282102.5</v>
      </c>
      <c r="C64" s="187">
        <f>$G$36+C43</f>
        <v>387585</v>
      </c>
      <c r="D64" s="187">
        <f t="shared" si="7"/>
        <v>669687.5</v>
      </c>
      <c r="E64" s="186"/>
    </row>
    <row r="65" spans="1:5" s="198" customFormat="1" ht="12.75" hidden="1">
      <c r="A65" s="185" t="s">
        <v>333</v>
      </c>
      <c r="B65" s="187">
        <f>$F$36+B44+F57</f>
        <v>260102.5</v>
      </c>
      <c r="C65" s="187">
        <f>$G$36+C44+G57</f>
        <v>585205</v>
      </c>
      <c r="D65" s="187">
        <f t="shared" si="7"/>
        <v>845307.5</v>
      </c>
      <c r="E65" s="186"/>
    </row>
    <row r="66" spans="1:5" s="198" customFormat="1" ht="12.75" hidden="1">
      <c r="A66" s="185" t="s">
        <v>325</v>
      </c>
      <c r="B66" s="187">
        <f>$F$36+B45</f>
        <v>216102.5</v>
      </c>
      <c r="C66" s="187">
        <f>$G$36+C45</f>
        <v>324765</v>
      </c>
      <c r="D66" s="187">
        <f t="shared" si="7"/>
        <v>540867.5</v>
      </c>
      <c r="E66" s="186"/>
    </row>
    <row r="67" spans="1:5" s="198" customFormat="1" ht="12.75" hidden="1">
      <c r="A67" s="185" t="s">
        <v>321</v>
      </c>
      <c r="B67" s="187">
        <f>$F$36+B46</f>
        <v>260552.5</v>
      </c>
      <c r="C67" s="187">
        <f>$G$36+C46</f>
        <v>414925</v>
      </c>
      <c r="D67" s="187">
        <f t="shared" si="7"/>
        <v>675477.5</v>
      </c>
      <c r="E67" s="186"/>
    </row>
    <row r="68" spans="1:5" s="198" customFormat="1" ht="12.75" hidden="1">
      <c r="A68" s="188" t="s">
        <v>399</v>
      </c>
      <c r="B68" s="189">
        <f>SUM(B62:B67)</f>
        <v>1470115</v>
      </c>
      <c r="C68" s="189">
        <f>SUM(C62:C67)</f>
        <v>2400650</v>
      </c>
      <c r="D68" s="189">
        <f>SUM(D62:D67)</f>
        <v>3870765</v>
      </c>
      <c r="E68" s="186"/>
    </row>
    <row r="69" spans="1:9" s="198" customFormat="1" ht="12.75" hidden="1">
      <c r="A69" s="190"/>
      <c r="B69" s="190"/>
      <c r="C69" s="191"/>
      <c r="D69" s="191"/>
      <c r="E69" s="191"/>
      <c r="F69" s="191"/>
      <c r="G69" s="191"/>
      <c r="H69" s="191"/>
      <c r="I69" s="199"/>
    </row>
    <row r="70" s="198" customFormat="1" ht="12.75" hidden="1"/>
    <row r="71" s="198" customFormat="1" ht="12.75" hidden="1"/>
    <row r="72" s="198" customFormat="1" ht="12.75" hidden="1"/>
    <row r="73" s="198" customFormat="1" ht="12.75" hidden="1"/>
    <row r="74" s="198" customFormat="1" ht="12.75" hidden="1"/>
    <row r="75" s="198" customFormat="1" ht="12.75" hidden="1"/>
    <row r="76" s="198" customFormat="1" ht="12.75" hidden="1"/>
    <row r="77" s="198" customFormat="1" ht="12.75" hidden="1"/>
    <row r="78" spans="1:2" s="198" customFormat="1" ht="24.75" hidden="1">
      <c r="A78" s="192" t="s">
        <v>357</v>
      </c>
      <c r="B78" s="183" t="s">
        <v>405</v>
      </c>
    </row>
    <row r="79" spans="1:2" s="198" customFormat="1" ht="12.75" hidden="1">
      <c r="A79" s="193" t="s">
        <v>365</v>
      </c>
      <c r="B79" s="194"/>
    </row>
    <row r="80" spans="1:2" s="198" customFormat="1" ht="12.75" hidden="1">
      <c r="A80" s="185" t="s">
        <v>406</v>
      </c>
      <c r="B80" s="194">
        <v>1</v>
      </c>
    </row>
    <row r="81" spans="1:2" s="198" customFormat="1" ht="12.75" hidden="1">
      <c r="A81" s="185" t="s">
        <v>407</v>
      </c>
      <c r="B81" s="194">
        <v>25</v>
      </c>
    </row>
    <row r="82" spans="1:2" s="198" customFormat="1" ht="12.75" hidden="1">
      <c r="A82" s="185" t="s">
        <v>408</v>
      </c>
      <c r="B82" s="194">
        <v>25</v>
      </c>
    </row>
    <row r="83" spans="1:2" s="198" customFormat="1" ht="12.75" hidden="1">
      <c r="A83" s="185" t="s">
        <v>409</v>
      </c>
      <c r="B83" s="194">
        <v>100</v>
      </c>
    </row>
    <row r="84" spans="1:2" s="198" customFormat="1" ht="12.75" hidden="1">
      <c r="A84" s="195" t="s">
        <v>410</v>
      </c>
      <c r="B84" s="194">
        <f>B80*B81*B83</f>
        <v>2500</v>
      </c>
    </row>
    <row r="85" spans="1:2" s="198" customFormat="1" ht="12.75" hidden="1">
      <c r="A85" s="195" t="s">
        <v>411</v>
      </c>
      <c r="B85" s="194">
        <f>B80*B81*B82</f>
        <v>625</v>
      </c>
    </row>
    <row r="86" spans="1:2" s="198" customFormat="1" ht="12.75" hidden="1">
      <c r="A86" s="193" t="s">
        <v>412</v>
      </c>
      <c r="B86" s="196"/>
    </row>
    <row r="87" spans="1:2" s="198" customFormat="1" ht="12.75" hidden="1">
      <c r="A87" s="185" t="s">
        <v>413</v>
      </c>
      <c r="B87" s="194">
        <v>120</v>
      </c>
    </row>
    <row r="88" spans="1:2" s="198" customFormat="1" ht="12.75" hidden="1">
      <c r="A88" s="185" t="s">
        <v>369</v>
      </c>
      <c r="B88" s="194"/>
    </row>
    <row r="89" spans="1:2" s="198" customFormat="1" ht="25.5" hidden="1">
      <c r="A89" s="185" t="s">
        <v>371</v>
      </c>
      <c r="B89" s="194"/>
    </row>
    <row r="90" spans="1:2" s="198" customFormat="1" ht="12.75" hidden="1">
      <c r="A90" s="195" t="s">
        <v>414</v>
      </c>
      <c r="B90" s="194">
        <f>SUM(B87:B89)</f>
        <v>120</v>
      </c>
    </row>
    <row r="91" spans="1:2" s="198" customFormat="1" ht="12.75" hidden="1">
      <c r="A91" s="193" t="s">
        <v>415</v>
      </c>
      <c r="B91" s="194"/>
    </row>
    <row r="92" spans="1:2" s="198" customFormat="1" ht="12.75" hidden="1">
      <c r="A92" s="185" t="s">
        <v>372</v>
      </c>
      <c r="B92" s="194"/>
    </row>
    <row r="93" spans="1:2" s="198" customFormat="1" ht="25.5" hidden="1">
      <c r="A93" s="185" t="s">
        <v>373</v>
      </c>
      <c r="B93" s="194"/>
    </row>
    <row r="94" spans="1:2" s="198" customFormat="1" ht="12.75" hidden="1">
      <c r="A94" s="185" t="s">
        <v>374</v>
      </c>
      <c r="B94" s="194"/>
    </row>
    <row r="95" spans="1:2" s="198" customFormat="1" ht="12.75" hidden="1">
      <c r="A95" s="195" t="s">
        <v>416</v>
      </c>
      <c r="B95" s="194">
        <f>SUM(B92:B94)</f>
        <v>0</v>
      </c>
    </row>
    <row r="96" spans="1:2" s="198" customFormat="1" ht="12.75" hidden="1">
      <c r="A96" s="193" t="s">
        <v>417</v>
      </c>
      <c r="B96" s="200">
        <f>B84+B90</f>
        <v>2620</v>
      </c>
    </row>
    <row r="97" spans="1:2" s="198" customFormat="1" ht="12.75" hidden="1">
      <c r="A97" s="193" t="s">
        <v>418</v>
      </c>
      <c r="B97" s="200">
        <f>B85+B95</f>
        <v>625</v>
      </c>
    </row>
    <row r="98" spans="1:2" s="198" customFormat="1" ht="12.75" hidden="1">
      <c r="A98" s="188" t="s">
        <v>399</v>
      </c>
      <c r="B98" s="200">
        <f>B96+B97</f>
        <v>3245</v>
      </c>
    </row>
    <row r="99" s="198" customFormat="1" ht="12.75"/>
    <row r="100" spans="2:10" s="198" customFormat="1" ht="12.75">
      <c r="B100" s="204" t="s">
        <v>429</v>
      </c>
      <c r="J100" s="204" t="s">
        <v>430</v>
      </c>
    </row>
    <row r="101" spans="1:15" s="198" customFormat="1" ht="12.75">
      <c r="A101" s="204"/>
      <c r="B101" s="201" t="s">
        <v>455</v>
      </c>
      <c r="C101" s="201" t="s">
        <v>456</v>
      </c>
      <c r="D101" s="204" t="s">
        <v>457</v>
      </c>
      <c r="E101" s="201" t="s">
        <v>458</v>
      </c>
      <c r="F101" s="201" t="s">
        <v>325</v>
      </c>
      <c r="G101" s="201" t="s">
        <v>459</v>
      </c>
      <c r="J101" s="201" t="s">
        <v>455</v>
      </c>
      <c r="K101" s="201" t="s">
        <v>456</v>
      </c>
      <c r="L101" s="204" t="s">
        <v>457</v>
      </c>
      <c r="M101" s="201" t="s">
        <v>458</v>
      </c>
      <c r="N101" s="201" t="s">
        <v>325</v>
      </c>
      <c r="O101" s="201" t="s">
        <v>459</v>
      </c>
    </row>
    <row r="102" spans="1:13" s="198" customFormat="1" ht="12.75">
      <c r="A102" s="205" t="str">
        <f>'total budget reconciliation'!C13</f>
        <v>Project Personnel                     w/m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1"/>
      <c r="M102" s="201"/>
    </row>
    <row r="103" spans="1:15" s="198" customFormat="1" ht="12.75">
      <c r="A103" s="206" t="str">
        <f>'total budget reconciliation'!C17</f>
        <v>Salary of NIFP 1</v>
      </c>
      <c r="B103" s="208">
        <f>B236</f>
        <v>0</v>
      </c>
      <c r="C103" s="208">
        <f>B371</f>
        <v>0</v>
      </c>
      <c r="D103" s="208">
        <f>B503</f>
        <v>0</v>
      </c>
      <c r="E103" s="208">
        <f>B635</f>
        <v>0</v>
      </c>
      <c r="F103" s="208">
        <f>B767</f>
        <v>0</v>
      </c>
      <c r="G103" s="208">
        <f>B899</f>
        <v>0</v>
      </c>
      <c r="H103" s="204"/>
      <c r="I103" s="204"/>
      <c r="J103" s="208">
        <f>C236</f>
        <v>21600</v>
      </c>
      <c r="K103" s="208">
        <f>C371</f>
        <v>50000</v>
      </c>
      <c r="L103" s="218">
        <f>C503</f>
        <v>100000</v>
      </c>
      <c r="M103" s="218">
        <f>C635</f>
        <v>24000</v>
      </c>
      <c r="N103" s="218">
        <f>C767</f>
        <v>23000</v>
      </c>
      <c r="O103" s="218">
        <f>C899</f>
        <v>40000</v>
      </c>
    </row>
    <row r="104" spans="1:15" s="198" customFormat="1" ht="12.75">
      <c r="A104" s="206" t="str">
        <f>'total budget reconciliation'!C18</f>
        <v>Salary of NIFP 2</v>
      </c>
      <c r="B104" s="208">
        <f>B237</f>
        <v>0</v>
      </c>
      <c r="C104" s="208">
        <f>B372</f>
        <v>0</v>
      </c>
      <c r="D104" s="208">
        <f>B504</f>
        <v>0</v>
      </c>
      <c r="E104" s="208">
        <f>B636</f>
        <v>0</v>
      </c>
      <c r="F104" s="208">
        <f>B768</f>
        <v>0</v>
      </c>
      <c r="G104" s="208">
        <f>B900</f>
        <v>0</v>
      </c>
      <c r="H104" s="204"/>
      <c r="I104" s="204"/>
      <c r="J104" s="208">
        <f>C237</f>
        <v>21600</v>
      </c>
      <c r="K104" s="208">
        <f>C372</f>
        <v>50000</v>
      </c>
      <c r="L104" s="218">
        <f>C504</f>
        <v>72000</v>
      </c>
      <c r="M104" s="218">
        <f>C636</f>
        <v>24000</v>
      </c>
      <c r="N104" s="218">
        <f>C768</f>
        <v>23000</v>
      </c>
      <c r="O104" s="218">
        <f>C900</f>
        <v>40000</v>
      </c>
    </row>
    <row r="105" spans="1:11" s="198" customFormat="1" ht="12.75">
      <c r="A105" s="207" t="str">
        <f>'total budget reconciliation'!C20</f>
        <v>Consultants                               w/m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</row>
    <row r="106" spans="1:15" s="198" customFormat="1" ht="12.75">
      <c r="A106" s="206" t="s">
        <v>442</v>
      </c>
      <c r="B106" s="208">
        <f>B239</f>
        <v>0</v>
      </c>
      <c r="C106" s="208">
        <f>B374</f>
        <v>0</v>
      </c>
      <c r="D106" s="208">
        <f>B506</f>
        <v>0</v>
      </c>
      <c r="E106" s="208">
        <f>B638</f>
        <v>80000</v>
      </c>
      <c r="F106" s="208">
        <f>B770</f>
        <v>20000</v>
      </c>
      <c r="G106" s="208">
        <f>B902</f>
        <v>0</v>
      </c>
      <c r="H106" s="204"/>
      <c r="I106" s="204"/>
      <c r="J106" s="208">
        <f>C239</f>
        <v>0</v>
      </c>
      <c r="K106" s="208">
        <f>C374</f>
        <v>0</v>
      </c>
      <c r="L106" s="218">
        <f>C506</f>
        <v>0</v>
      </c>
      <c r="M106" s="218">
        <f>C638</f>
        <v>20000</v>
      </c>
      <c r="N106" s="218">
        <f>C770</f>
        <v>0</v>
      </c>
      <c r="O106" s="218">
        <f>C902</f>
        <v>80000</v>
      </c>
    </row>
    <row r="107" spans="1:15" s="198" customFormat="1" ht="12.75">
      <c r="A107" s="206" t="s">
        <v>443</v>
      </c>
      <c r="B107" s="208">
        <f>B240</f>
        <v>10000</v>
      </c>
      <c r="C107" s="208">
        <f aca="true" t="shared" si="8" ref="C107:C132">B375</f>
        <v>0</v>
      </c>
      <c r="D107" s="208">
        <f>B507</f>
        <v>60000</v>
      </c>
      <c r="E107" s="208">
        <f>B639</f>
        <v>0</v>
      </c>
      <c r="F107" s="208">
        <f>B771</f>
        <v>10000</v>
      </c>
      <c r="G107" s="208">
        <f>B903</f>
        <v>0</v>
      </c>
      <c r="H107" s="204"/>
      <c r="I107" s="204"/>
      <c r="J107" s="208">
        <f>C240</f>
        <v>10000</v>
      </c>
      <c r="K107" s="208">
        <f aca="true" t="shared" si="9" ref="K107:K132">C375</f>
        <v>0</v>
      </c>
      <c r="L107" s="218">
        <f>C507</f>
        <v>0</v>
      </c>
      <c r="M107" s="218">
        <f>C639</f>
        <v>10000</v>
      </c>
      <c r="N107" s="218">
        <f>C771</f>
        <v>0</v>
      </c>
      <c r="O107" s="218">
        <f>C903</f>
        <v>50000</v>
      </c>
    </row>
    <row r="108" spans="1:15" s="198" customFormat="1" ht="12.75">
      <c r="A108" s="206" t="s">
        <v>444</v>
      </c>
      <c r="B108" s="208">
        <f aca="true" t="shared" si="10" ref="B108:B132">B241</f>
        <v>10572.5</v>
      </c>
      <c r="C108" s="208">
        <f t="shared" si="8"/>
        <v>0</v>
      </c>
      <c r="D108" s="208">
        <f>B508</f>
        <v>0</v>
      </c>
      <c r="E108" s="208">
        <f>B640</f>
        <v>0</v>
      </c>
      <c r="F108" s="208">
        <f>B772</f>
        <v>10572.5</v>
      </c>
      <c r="G108" s="208">
        <f>B904</f>
        <v>0</v>
      </c>
      <c r="H108" s="204"/>
      <c r="I108" s="204"/>
      <c r="J108" s="208">
        <f>C241</f>
        <v>11135</v>
      </c>
      <c r="K108" s="208">
        <f t="shared" si="9"/>
        <v>0</v>
      </c>
      <c r="L108" s="218">
        <f>C508</f>
        <v>0</v>
      </c>
      <c r="M108" s="218">
        <f>C640</f>
        <v>10000</v>
      </c>
      <c r="N108" s="218">
        <f>C772</f>
        <v>0</v>
      </c>
      <c r="O108" s="218">
        <f>C904</f>
        <v>40000</v>
      </c>
    </row>
    <row r="109" spans="1:15" s="198" customFormat="1" ht="12.75">
      <c r="A109" s="206" t="s">
        <v>445</v>
      </c>
      <c r="B109" s="208">
        <f t="shared" si="10"/>
        <v>15000</v>
      </c>
      <c r="C109" s="208">
        <f t="shared" si="8"/>
        <v>0</v>
      </c>
      <c r="D109" s="208">
        <f>B509</f>
        <v>0</v>
      </c>
      <c r="E109" s="208">
        <f>B641</f>
        <v>0</v>
      </c>
      <c r="F109" s="208">
        <f>B773</f>
        <v>15000</v>
      </c>
      <c r="G109" s="208">
        <f>B905</f>
        <v>0</v>
      </c>
      <c r="H109" s="204"/>
      <c r="I109" s="204"/>
      <c r="J109" s="208">
        <f>C242</f>
        <v>10000</v>
      </c>
      <c r="K109" s="208">
        <f t="shared" si="9"/>
        <v>0</v>
      </c>
      <c r="L109" s="218">
        <f>C509</f>
        <v>0</v>
      </c>
      <c r="M109" s="218">
        <f>C641</f>
        <v>10000</v>
      </c>
      <c r="N109" s="218">
        <f>C773</f>
        <v>0</v>
      </c>
      <c r="O109" s="218">
        <f>C905</f>
        <v>40000</v>
      </c>
    </row>
    <row r="110" spans="1:15" s="198" customFormat="1" ht="12.75">
      <c r="A110" s="206" t="s">
        <v>446</v>
      </c>
      <c r="B110" s="208">
        <f t="shared" si="10"/>
        <v>19050</v>
      </c>
      <c r="C110" s="208">
        <f t="shared" si="8"/>
        <v>0</v>
      </c>
      <c r="D110" s="208">
        <f>B510</f>
        <v>66000</v>
      </c>
      <c r="E110" s="208">
        <f>B642</f>
        <v>44000</v>
      </c>
      <c r="F110" s="208">
        <f>B774</f>
        <v>0</v>
      </c>
      <c r="G110" s="208">
        <f>B906</f>
        <v>44450</v>
      </c>
      <c r="H110" s="208"/>
      <c r="I110" s="208"/>
      <c r="J110" s="208">
        <f>C243</f>
        <v>38640</v>
      </c>
      <c r="K110" s="208">
        <f t="shared" si="9"/>
        <v>0</v>
      </c>
      <c r="L110" s="218">
        <f>C510</f>
        <v>62820</v>
      </c>
      <c r="M110" s="218">
        <f>C642</f>
        <v>41880</v>
      </c>
      <c r="N110" s="218">
        <f>C774</f>
        <v>0</v>
      </c>
      <c r="O110" s="218">
        <f>C906</f>
        <v>70000</v>
      </c>
    </row>
    <row r="111" spans="1:11" s="198" customFormat="1" ht="12.75">
      <c r="A111" s="207" t="str">
        <f>'total budget reconciliation'!C27</f>
        <v>Administrative support          w/m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</row>
    <row r="112" spans="1:15" s="198" customFormat="1" ht="25.5" customHeight="1">
      <c r="A112" s="206" t="str">
        <f>'total budget reconciliation'!C31</f>
        <v>Operational support (driver, security, cleanner, office assistants, etc.)</v>
      </c>
      <c r="B112" s="208">
        <f t="shared" si="10"/>
        <v>0</v>
      </c>
      <c r="C112" s="208">
        <f t="shared" si="8"/>
        <v>0</v>
      </c>
      <c r="D112" s="208">
        <f>B512</f>
        <v>0</v>
      </c>
      <c r="E112" s="208">
        <f>B644</f>
        <v>0</v>
      </c>
      <c r="F112" s="208">
        <f>B776</f>
        <v>0</v>
      </c>
      <c r="G112" s="208">
        <f>B908</f>
        <v>0</v>
      </c>
      <c r="H112" s="204"/>
      <c r="I112" s="204"/>
      <c r="J112" s="208">
        <f>C245</f>
        <v>7200</v>
      </c>
      <c r="K112" s="208">
        <f t="shared" si="9"/>
        <v>0</v>
      </c>
      <c r="L112" s="218">
        <f>C512</f>
        <v>0</v>
      </c>
      <c r="M112" s="218">
        <f>C644</f>
        <v>32160</v>
      </c>
      <c r="N112" s="218">
        <f>C776</f>
        <v>0</v>
      </c>
      <c r="O112" s="218">
        <f>C908</f>
        <v>15000</v>
      </c>
    </row>
    <row r="113" spans="1:15" s="198" customFormat="1" ht="12.75">
      <c r="A113" s="207" t="str">
        <f>'total budget reconciliation'!C38</f>
        <v>Travel on official business (above staff)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18"/>
      <c r="M113" s="218"/>
      <c r="N113" s="218"/>
      <c r="O113" s="218"/>
    </row>
    <row r="114" spans="1:15" s="198" customFormat="1" ht="12.75">
      <c r="A114" s="206" t="str">
        <f>'total budget reconciliation'!C43</f>
        <v>Field visits (National contribution)</v>
      </c>
      <c r="B114" s="208">
        <f t="shared" si="10"/>
        <v>0</v>
      </c>
      <c r="C114" s="208">
        <f t="shared" si="8"/>
        <v>20000</v>
      </c>
      <c r="D114" s="208">
        <f>B514</f>
        <v>0</v>
      </c>
      <c r="E114" s="208">
        <f>B646</f>
        <v>0</v>
      </c>
      <c r="F114" s="208">
        <f>B778</f>
        <v>0</v>
      </c>
      <c r="G114" s="208">
        <f>B910</f>
        <v>0</v>
      </c>
      <c r="H114" s="204"/>
      <c r="I114" s="204"/>
      <c r="J114" s="208">
        <f>C247</f>
        <v>16500</v>
      </c>
      <c r="K114" s="208">
        <f t="shared" si="9"/>
        <v>0</v>
      </c>
      <c r="L114" s="218">
        <f>C514</f>
        <v>0</v>
      </c>
      <c r="M114" s="218">
        <f>C646</f>
        <v>17000</v>
      </c>
      <c r="N114" s="218">
        <f>C778</f>
        <v>0</v>
      </c>
      <c r="O114" s="218">
        <f>C910</f>
        <v>40000</v>
      </c>
    </row>
    <row r="115" spans="1:11" s="198" customFormat="1" ht="12.75">
      <c r="A115" s="207" t="str">
        <f>'total budget reconciliation'!C69</f>
        <v>Group training (study tours, field trips,</v>
      </c>
      <c r="K115" s="204"/>
    </row>
    <row r="116" spans="1:15" s="198" customFormat="1" ht="12.75">
      <c r="A116" s="206" t="str">
        <f>'total budget reconciliation'!C73</f>
        <v>Training for Result 3</v>
      </c>
      <c r="B116" s="208">
        <f t="shared" si="10"/>
        <v>16000</v>
      </c>
      <c r="C116" s="208">
        <f t="shared" si="8"/>
        <v>10000</v>
      </c>
      <c r="D116" s="208">
        <f>B516</f>
        <v>0</v>
      </c>
      <c r="E116" s="208">
        <f>B648</f>
        <v>0</v>
      </c>
      <c r="F116" s="208">
        <f>B780</f>
        <v>16000</v>
      </c>
      <c r="G116" s="208">
        <f>B912</f>
        <v>0</v>
      </c>
      <c r="H116" s="204"/>
      <c r="I116" s="204"/>
      <c r="J116" s="208">
        <f>C249</f>
        <v>12000</v>
      </c>
      <c r="K116" s="208">
        <f t="shared" si="9"/>
        <v>0</v>
      </c>
      <c r="L116" s="218">
        <f>C516</f>
        <v>0</v>
      </c>
      <c r="M116" s="218">
        <f>C648</f>
        <v>20000</v>
      </c>
      <c r="N116" s="218">
        <f>C780</f>
        <v>0</v>
      </c>
      <c r="O116" s="218">
        <f>C912</f>
        <v>50000</v>
      </c>
    </row>
    <row r="117" spans="1:15" s="198" customFormat="1" ht="12.75">
      <c r="A117" s="206" t="str">
        <f>'total budget reconciliation'!C74</f>
        <v>Contribution to national trainings</v>
      </c>
      <c r="B117" s="208">
        <f t="shared" si="10"/>
        <v>7940</v>
      </c>
      <c r="C117" s="208">
        <f t="shared" si="8"/>
        <v>5000</v>
      </c>
      <c r="D117" s="208">
        <f>B517</f>
        <v>57000</v>
      </c>
      <c r="E117" s="208">
        <f>B649</f>
        <v>4140</v>
      </c>
      <c r="F117" s="208">
        <f>B781</f>
        <v>7940</v>
      </c>
      <c r="G117" s="208">
        <f>B913</f>
        <v>0</v>
      </c>
      <c r="H117" s="204"/>
      <c r="I117" s="204"/>
      <c r="J117" s="208">
        <f>C250</f>
        <v>27000</v>
      </c>
      <c r="K117" s="208">
        <f t="shared" si="9"/>
        <v>0</v>
      </c>
      <c r="L117" s="218">
        <f>C517</f>
        <v>0</v>
      </c>
      <c r="M117" s="218">
        <f>C649</f>
        <v>24000</v>
      </c>
      <c r="N117" s="218">
        <f>C781</f>
        <v>0</v>
      </c>
      <c r="O117" s="218">
        <f>C913</f>
        <v>40000</v>
      </c>
    </row>
    <row r="118" spans="1:11" s="198" customFormat="1" ht="12.75">
      <c r="A118" s="207" t="str">
        <f>'total budget reconciliation'!C76</f>
        <v>Meetings/conferences    (give title)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1:15" s="198" customFormat="1" ht="12.75">
      <c r="A119" s="206" t="str">
        <f>A13</f>
        <v>Regional meetings (1 per country)</v>
      </c>
      <c r="B119" s="208">
        <f t="shared" si="10"/>
        <v>937.5</v>
      </c>
      <c r="C119" s="208">
        <f t="shared" si="8"/>
        <v>5000</v>
      </c>
      <c r="D119" s="208">
        <f>B519</f>
        <v>0</v>
      </c>
      <c r="E119" s="208">
        <f>B651</f>
        <v>600</v>
      </c>
      <c r="F119" s="208">
        <f>B783</f>
        <v>937.5</v>
      </c>
      <c r="G119" s="208">
        <f>B915</f>
        <v>1006</v>
      </c>
      <c r="H119" s="204"/>
      <c r="I119" s="204"/>
      <c r="J119" s="208">
        <f>C252</f>
        <v>3375</v>
      </c>
      <c r="K119" s="208">
        <f t="shared" si="9"/>
        <v>0</v>
      </c>
      <c r="L119" s="218">
        <f>C519</f>
        <v>0</v>
      </c>
      <c r="M119" s="218">
        <f>C651</f>
        <v>3000</v>
      </c>
      <c r="N119" s="218">
        <f>C783</f>
        <v>0</v>
      </c>
      <c r="O119" s="218">
        <f>C915</f>
        <v>5000</v>
      </c>
    </row>
    <row r="120" spans="1:15" s="198" customFormat="1" ht="12.75">
      <c r="A120" s="206" t="str">
        <f>'total budget reconciliation'!C80</f>
        <v>Workshop for Result 2</v>
      </c>
      <c r="B120" s="208">
        <f t="shared" si="10"/>
        <v>7000</v>
      </c>
      <c r="C120" s="208">
        <f t="shared" si="8"/>
        <v>5000</v>
      </c>
      <c r="D120" s="208">
        <f>B520</f>
        <v>0</v>
      </c>
      <c r="E120" s="208">
        <f>B652</f>
        <v>3260</v>
      </c>
      <c r="F120" s="208">
        <f>B784</f>
        <v>7000</v>
      </c>
      <c r="G120" s="208">
        <f>B916</f>
        <v>0</v>
      </c>
      <c r="H120" s="204"/>
      <c r="I120" s="204"/>
      <c r="J120" s="208">
        <f>C253</f>
        <v>0</v>
      </c>
      <c r="K120" s="208">
        <f t="shared" si="9"/>
        <v>0</v>
      </c>
      <c r="L120" s="218">
        <f>C520</f>
        <v>0</v>
      </c>
      <c r="M120" s="218">
        <f>C652</f>
        <v>2410</v>
      </c>
      <c r="N120" s="218">
        <f>C784</f>
        <v>0</v>
      </c>
      <c r="O120" s="218">
        <f>C916</f>
        <v>5000</v>
      </c>
    </row>
    <row r="121" spans="1:15" s="198" customFormat="1" ht="12.75">
      <c r="A121" s="206" t="str">
        <f>'total budget reconciliation'!C81</f>
        <v>Workshop for Result 3</v>
      </c>
      <c r="B121" s="208">
        <f t="shared" si="10"/>
        <v>7000</v>
      </c>
      <c r="C121" s="208">
        <f t="shared" si="8"/>
        <v>7000</v>
      </c>
      <c r="D121" s="208">
        <f>B521</f>
        <v>0</v>
      </c>
      <c r="E121" s="208">
        <f>B653</f>
        <v>0</v>
      </c>
      <c r="F121" s="208">
        <f>B785</f>
        <v>6545</v>
      </c>
      <c r="G121" s="208">
        <f>B917</f>
        <v>0</v>
      </c>
      <c r="H121" s="204"/>
      <c r="I121" s="204"/>
      <c r="J121" s="208">
        <f>C254</f>
        <v>0</v>
      </c>
      <c r="K121" s="208">
        <f t="shared" si="9"/>
        <v>0</v>
      </c>
      <c r="L121" s="218">
        <f>C521</f>
        <v>0</v>
      </c>
      <c r="M121" s="218">
        <f>C653</f>
        <v>0</v>
      </c>
      <c r="N121" s="218">
        <f>C785</f>
        <v>0</v>
      </c>
      <c r="O121" s="218">
        <f>C917</f>
        <v>5000</v>
      </c>
    </row>
    <row r="122" spans="1:15" s="198" customFormat="1" ht="12.75">
      <c r="A122" s="206" t="str">
        <f>'total budget reconciliation'!C82</f>
        <v>National contribution to different  meetings</v>
      </c>
      <c r="B122" s="208">
        <f t="shared" si="10"/>
        <v>24700</v>
      </c>
      <c r="C122" s="208">
        <f t="shared" si="8"/>
        <v>20000</v>
      </c>
      <c r="D122" s="208">
        <f>B522</f>
        <v>0</v>
      </c>
      <c r="E122" s="208">
        <f>B654</f>
        <v>8000</v>
      </c>
      <c r="F122" s="208">
        <f>B786</f>
        <v>32875</v>
      </c>
      <c r="G122" s="208">
        <f>B918</f>
        <v>0</v>
      </c>
      <c r="H122" s="204"/>
      <c r="I122" s="204"/>
      <c r="J122" s="208">
        <f>C255</f>
        <v>50850</v>
      </c>
      <c r="K122" s="208">
        <f t="shared" si="9"/>
        <v>0</v>
      </c>
      <c r="L122" s="218">
        <f>C522</f>
        <v>175000</v>
      </c>
      <c r="M122" s="218">
        <f>C654</f>
        <v>45150</v>
      </c>
      <c r="N122" s="218">
        <f>C786</f>
        <v>0</v>
      </c>
      <c r="O122" s="218">
        <f>C918</f>
        <v>68000</v>
      </c>
    </row>
    <row r="123" spans="1:11" s="198" customFormat="1" ht="12.75">
      <c r="A123" s="207" t="str">
        <f>'total budget reconciliation'!C86</f>
        <v>Expendable equipment (items under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  <row r="124" spans="1:15" s="198" customFormat="1" ht="12.75">
      <c r="A124" s="206" t="str">
        <f>'total budget reconciliation'!C88</f>
        <v>Office supplies</v>
      </c>
      <c r="B124" s="208">
        <f t="shared" si="10"/>
        <v>0</v>
      </c>
      <c r="C124" s="208">
        <f t="shared" si="8"/>
        <v>2400</v>
      </c>
      <c r="D124" s="204"/>
      <c r="E124" s="204"/>
      <c r="F124" s="204"/>
      <c r="G124" s="204"/>
      <c r="H124" s="204"/>
      <c r="I124" s="204"/>
      <c r="J124" s="208">
        <f>C257</f>
        <v>6000</v>
      </c>
      <c r="K124" s="208">
        <f t="shared" si="9"/>
        <v>0</v>
      </c>
      <c r="L124" s="218">
        <f>C524</f>
        <v>0</v>
      </c>
      <c r="M124" s="218">
        <f>C656</f>
        <v>6000</v>
      </c>
      <c r="N124" s="218">
        <f>C788</f>
        <v>0</v>
      </c>
      <c r="O124" s="218">
        <f>C920</f>
        <v>16000</v>
      </c>
    </row>
    <row r="125" spans="1:11" s="198" customFormat="1" ht="12.75">
      <c r="A125" s="207" t="str">
        <f>'total budget reconciliation'!C92</f>
        <v>Non-expendable equipment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</row>
    <row r="126" spans="1:15" s="198" customFormat="1" ht="12.75">
      <c r="A126" s="206" t="str">
        <f>'total budget reconciliation'!C95</f>
        <v>Office Equipment</v>
      </c>
      <c r="B126" s="208">
        <f t="shared" si="10"/>
        <v>0</v>
      </c>
      <c r="C126" s="208">
        <f t="shared" si="8"/>
        <v>0</v>
      </c>
      <c r="D126" s="208">
        <f>B526</f>
        <v>0</v>
      </c>
      <c r="E126" s="208">
        <f>B658</f>
        <v>0</v>
      </c>
      <c r="F126" s="208">
        <f>B790</f>
        <v>0</v>
      </c>
      <c r="G126" s="208">
        <f>B922</f>
        <v>0</v>
      </c>
      <c r="H126" s="204"/>
      <c r="I126" s="204"/>
      <c r="J126" s="208">
        <f>C259</f>
        <v>6000</v>
      </c>
      <c r="K126" s="208">
        <f t="shared" si="9"/>
        <v>0</v>
      </c>
      <c r="L126" s="218">
        <f>C526</f>
        <v>0</v>
      </c>
      <c r="M126" s="218">
        <f>C658</f>
        <v>20200</v>
      </c>
      <c r="N126" s="218">
        <f>C790</f>
        <v>0</v>
      </c>
      <c r="O126" s="218">
        <f>C922</f>
        <v>20460</v>
      </c>
    </row>
    <row r="127" spans="1:15" s="198" customFormat="1" ht="12.75">
      <c r="A127" s="206" t="str">
        <f>'total budget reconciliation'!C97</f>
        <v>Tax rebate</v>
      </c>
      <c r="B127" s="208">
        <f t="shared" si="10"/>
        <v>0</v>
      </c>
      <c r="C127" s="208">
        <f t="shared" si="8"/>
        <v>0</v>
      </c>
      <c r="D127" s="208">
        <f>B527</f>
        <v>0</v>
      </c>
      <c r="E127" s="208">
        <f>B659</f>
        <v>0</v>
      </c>
      <c r="F127" s="208">
        <f>B791</f>
        <v>0</v>
      </c>
      <c r="G127" s="208">
        <f>B923</f>
        <v>0</v>
      </c>
      <c r="H127" s="204"/>
      <c r="I127" s="204"/>
      <c r="J127" s="208">
        <f>C260</f>
        <v>32000</v>
      </c>
      <c r="K127" s="208">
        <f t="shared" si="9"/>
        <v>0</v>
      </c>
      <c r="L127" s="218">
        <f>C527</f>
        <v>0</v>
      </c>
      <c r="M127" s="218">
        <f>C659</f>
        <v>32000</v>
      </c>
      <c r="N127" s="218">
        <f>C791</f>
        <v>0</v>
      </c>
      <c r="O127" s="218">
        <f>C923</f>
        <v>80000</v>
      </c>
    </row>
    <row r="128" spans="1:11" s="198" customFormat="1" ht="12.75">
      <c r="A128" s="207" t="str">
        <f>'total budget reconciliation'!C99</f>
        <v>Premises  (office rent, maintenance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</row>
    <row r="129" spans="1:15" s="198" customFormat="1" ht="12.75">
      <c r="A129" s="206" t="str">
        <f>'total budget reconciliation'!C102</f>
        <v>Utilities (water, electricity)</v>
      </c>
      <c r="B129" s="208">
        <f t="shared" si="10"/>
        <v>0</v>
      </c>
      <c r="C129" s="208">
        <f t="shared" si="8"/>
        <v>0</v>
      </c>
      <c r="D129" s="208">
        <f>B529</f>
        <v>0</v>
      </c>
      <c r="E129" s="208">
        <f>B661</f>
        <v>0</v>
      </c>
      <c r="F129" s="208">
        <f>B793</f>
        <v>0</v>
      </c>
      <c r="G129" s="208">
        <f>B925</f>
        <v>0</v>
      </c>
      <c r="H129" s="204"/>
      <c r="I129" s="204"/>
      <c r="J129" s="208">
        <f>C262</f>
        <v>8400</v>
      </c>
      <c r="K129" s="208">
        <f t="shared" si="9"/>
        <v>19038</v>
      </c>
      <c r="L129" s="218">
        <f>C529</f>
        <v>142180</v>
      </c>
      <c r="M129" s="218">
        <f>C661</f>
        <v>30000</v>
      </c>
      <c r="N129" s="218">
        <f>C793</f>
        <v>8300</v>
      </c>
      <c r="O129" s="218">
        <f>C925</f>
        <v>30000</v>
      </c>
    </row>
    <row r="130" spans="1:15" s="198" customFormat="1" ht="12.75">
      <c r="A130" s="206" t="str">
        <f>'total budget reconciliation'!C103</f>
        <v>Office space</v>
      </c>
      <c r="B130" s="208">
        <f t="shared" si="10"/>
        <v>0</v>
      </c>
      <c r="C130" s="208">
        <f t="shared" si="8"/>
        <v>0</v>
      </c>
      <c r="D130" s="208">
        <f>B530</f>
        <v>0</v>
      </c>
      <c r="E130" s="208">
        <f>B662</f>
        <v>0</v>
      </c>
      <c r="F130" s="208">
        <f>B794</f>
        <v>0</v>
      </c>
      <c r="G130" s="208">
        <f>B926</f>
        <v>0</v>
      </c>
      <c r="H130" s="208"/>
      <c r="I130" s="208"/>
      <c r="J130" s="208">
        <f>C263</f>
        <v>13200</v>
      </c>
      <c r="K130" s="208">
        <f t="shared" si="9"/>
        <v>22114.95</v>
      </c>
      <c r="L130" s="218">
        <f>C530</f>
        <v>180000</v>
      </c>
      <c r="M130" s="218">
        <f>C662</f>
        <v>157200</v>
      </c>
      <c r="N130" s="218">
        <f>C794</f>
        <v>6400</v>
      </c>
      <c r="O130" s="218">
        <f>C926</f>
        <v>30000</v>
      </c>
    </row>
    <row r="131" spans="1:11" s="198" customFormat="1" ht="12.75">
      <c r="A131" s="207" t="str">
        <f>'total budget reconciliation'!C120</f>
        <v>Sundry  (communications, postage,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</row>
    <row r="132" spans="1:15" s="198" customFormat="1" ht="12.75">
      <c r="A132" s="206" t="str">
        <f>A56</f>
        <v>Communication (phone, internet, etc)</v>
      </c>
      <c r="B132" s="208">
        <f t="shared" si="10"/>
        <v>0</v>
      </c>
      <c r="C132" s="208">
        <f t="shared" si="8"/>
        <v>12000</v>
      </c>
      <c r="D132" s="208">
        <f>B532</f>
        <v>0</v>
      </c>
      <c r="E132" s="208">
        <f>B664</f>
        <v>0</v>
      </c>
      <c r="F132" s="208">
        <f>B796</f>
        <v>0</v>
      </c>
      <c r="G132" s="208">
        <f>B928</f>
        <v>0</v>
      </c>
      <c r="H132" s="204"/>
      <c r="I132" s="204"/>
      <c r="J132" s="208">
        <f>C265</f>
        <v>4200</v>
      </c>
      <c r="K132" s="208">
        <f t="shared" si="9"/>
        <v>0</v>
      </c>
      <c r="L132" s="218">
        <f>C532</f>
        <v>0</v>
      </c>
      <c r="M132" s="218">
        <f>C664</f>
        <v>21000</v>
      </c>
      <c r="N132" s="218">
        <f>C796</f>
        <v>0</v>
      </c>
      <c r="O132" s="218">
        <f>C928</f>
        <v>10000</v>
      </c>
    </row>
    <row r="133" spans="1:15" s="198" customFormat="1" ht="12.75">
      <c r="A133" s="206"/>
      <c r="B133" s="205">
        <f aca="true" t="shared" si="11" ref="B133:G133">SUM(B102:B132)</f>
        <v>118200</v>
      </c>
      <c r="C133" s="205">
        <f t="shared" si="11"/>
        <v>86400</v>
      </c>
      <c r="D133" s="205">
        <f t="shared" si="11"/>
        <v>183000</v>
      </c>
      <c r="E133" s="205">
        <f t="shared" si="11"/>
        <v>140000</v>
      </c>
      <c r="F133" s="205">
        <f t="shared" si="11"/>
        <v>126870</v>
      </c>
      <c r="G133" s="205">
        <f t="shared" si="11"/>
        <v>45456</v>
      </c>
      <c r="J133" s="205">
        <f aca="true" t="shared" si="12" ref="J133:O133">SUM(J102:J132)</f>
        <v>299700</v>
      </c>
      <c r="K133" s="205">
        <f t="shared" si="12"/>
        <v>141152.95</v>
      </c>
      <c r="L133" s="205">
        <f t="shared" si="12"/>
        <v>732000</v>
      </c>
      <c r="M133" s="205">
        <f t="shared" si="12"/>
        <v>550000</v>
      </c>
      <c r="N133" s="205">
        <f t="shared" si="12"/>
        <v>60700</v>
      </c>
      <c r="O133" s="205">
        <f t="shared" si="12"/>
        <v>774460</v>
      </c>
    </row>
    <row r="134" spans="1:4" s="198" customFormat="1" ht="12.75">
      <c r="A134" s="206"/>
      <c r="B134" s="204"/>
      <c r="C134" s="204"/>
      <c r="D134" s="204"/>
    </row>
    <row r="135" spans="1:4" s="198" customFormat="1" ht="12.75">
      <c r="A135" s="206"/>
      <c r="B135" s="204"/>
      <c r="C135" s="204"/>
      <c r="D135" s="204"/>
    </row>
    <row r="136" spans="1:4" s="198" customFormat="1" ht="12.75">
      <c r="A136" s="206" t="s">
        <v>455</v>
      </c>
      <c r="B136" s="204"/>
      <c r="C136" s="204"/>
      <c r="D136" s="204"/>
    </row>
    <row r="137" spans="1:9" s="198" customFormat="1" ht="12.75" hidden="1">
      <c r="A137" s="182" t="s">
        <v>357</v>
      </c>
      <c r="B137" s="182" t="s">
        <v>358</v>
      </c>
      <c r="C137" s="182" t="s">
        <v>359</v>
      </c>
      <c r="D137" s="182" t="s">
        <v>360</v>
      </c>
      <c r="E137" s="182" t="s">
        <v>361</v>
      </c>
      <c r="F137" s="182" t="s">
        <v>231</v>
      </c>
      <c r="G137" s="182" t="s">
        <v>362</v>
      </c>
      <c r="H137" s="182" t="s">
        <v>4</v>
      </c>
      <c r="I137" s="183" t="s">
        <v>363</v>
      </c>
    </row>
    <row r="138" spans="1:9" s="198" customFormat="1" ht="12.75" hidden="1">
      <c r="A138" s="184" t="s">
        <v>364</v>
      </c>
      <c r="B138" s="185"/>
      <c r="C138" s="186"/>
      <c r="D138" s="186"/>
      <c r="E138" s="186"/>
      <c r="F138" s="186"/>
      <c r="G138" s="186"/>
      <c r="H138" s="186"/>
      <c r="I138" s="186"/>
    </row>
    <row r="139" spans="1:9" s="198" customFormat="1" ht="12.75" hidden="1">
      <c r="A139" s="185" t="s">
        <v>365</v>
      </c>
      <c r="B139" s="185" t="s">
        <v>366</v>
      </c>
      <c r="C139" s="187">
        <v>20</v>
      </c>
      <c r="D139" s="187">
        <f>B218</f>
        <v>625</v>
      </c>
      <c r="E139" s="187">
        <f>B217</f>
        <v>2250</v>
      </c>
      <c r="F139" s="209">
        <f aca="true" t="shared" si="13" ref="F139:F146">D139*C139</f>
        <v>12500</v>
      </c>
      <c r="G139" s="209">
        <f aca="true" t="shared" si="14" ref="G139:G146">C139*E139</f>
        <v>45000</v>
      </c>
      <c r="H139" s="209">
        <f aca="true" t="shared" si="15" ref="H139:H146">F139+G139</f>
        <v>57500</v>
      </c>
      <c r="I139" s="186"/>
    </row>
    <row r="140" spans="1:9" s="198" customFormat="1" ht="12.75" hidden="1">
      <c r="A140" s="185" t="s">
        <v>367</v>
      </c>
      <c r="B140" s="185" t="s">
        <v>368</v>
      </c>
      <c r="C140" s="187">
        <f>C139</f>
        <v>20</v>
      </c>
      <c r="D140" s="187"/>
      <c r="E140" s="187">
        <v>120</v>
      </c>
      <c r="F140" s="209">
        <f t="shared" si="13"/>
        <v>0</v>
      </c>
      <c r="G140" s="209">
        <f t="shared" si="14"/>
        <v>2400</v>
      </c>
      <c r="H140" s="209">
        <f t="shared" si="15"/>
        <v>2400</v>
      </c>
      <c r="I140" s="186"/>
    </row>
    <row r="141" spans="1:9" s="198" customFormat="1" ht="12.75" hidden="1">
      <c r="A141" s="185" t="s">
        <v>369</v>
      </c>
      <c r="B141" s="185" t="s">
        <v>370</v>
      </c>
      <c r="C141" s="187">
        <f>C139</f>
        <v>20</v>
      </c>
      <c r="D141" s="187"/>
      <c r="E141" s="187">
        <v>50</v>
      </c>
      <c r="F141" s="209">
        <f t="shared" si="13"/>
        <v>0</v>
      </c>
      <c r="G141" s="209">
        <f t="shared" si="14"/>
        <v>1000</v>
      </c>
      <c r="H141" s="209">
        <f t="shared" si="15"/>
        <v>1000</v>
      </c>
      <c r="I141" s="186"/>
    </row>
    <row r="142" spans="1:9" s="198" customFormat="1" ht="25.5" hidden="1">
      <c r="A142" s="185" t="s">
        <v>371</v>
      </c>
      <c r="B142" s="185" t="s">
        <v>370</v>
      </c>
      <c r="C142" s="187">
        <v>14</v>
      </c>
      <c r="D142" s="187"/>
      <c r="E142" s="187">
        <v>175</v>
      </c>
      <c r="F142" s="209">
        <f t="shared" si="13"/>
        <v>0</v>
      </c>
      <c r="G142" s="209">
        <f t="shared" si="14"/>
        <v>2450</v>
      </c>
      <c r="H142" s="209">
        <f t="shared" si="15"/>
        <v>2450</v>
      </c>
      <c r="I142" s="186"/>
    </row>
    <row r="143" spans="1:9" s="198" customFormat="1" ht="12.75" hidden="1">
      <c r="A143" s="185" t="s">
        <v>372</v>
      </c>
      <c r="B143" s="185" t="s">
        <v>370</v>
      </c>
      <c r="C143" s="187">
        <f>C142</f>
        <v>14</v>
      </c>
      <c r="D143" s="187">
        <v>200</v>
      </c>
      <c r="E143" s="187"/>
      <c r="F143" s="209">
        <f t="shared" si="13"/>
        <v>2800</v>
      </c>
      <c r="G143" s="209">
        <f t="shared" si="14"/>
        <v>0</v>
      </c>
      <c r="H143" s="209">
        <f t="shared" si="15"/>
        <v>2800</v>
      </c>
      <c r="I143" s="186"/>
    </row>
    <row r="144" spans="1:9" s="198" customFormat="1" ht="25.5" hidden="1">
      <c r="A144" s="185" t="s">
        <v>373</v>
      </c>
      <c r="B144" s="185" t="s">
        <v>370</v>
      </c>
      <c r="C144" s="187">
        <f>C143</f>
        <v>14</v>
      </c>
      <c r="D144" s="187">
        <v>600</v>
      </c>
      <c r="E144" s="187"/>
      <c r="F144" s="209">
        <f t="shared" si="13"/>
        <v>8400</v>
      </c>
      <c r="G144" s="209">
        <f t="shared" si="14"/>
        <v>0</v>
      </c>
      <c r="H144" s="209">
        <f t="shared" si="15"/>
        <v>8400</v>
      </c>
      <c r="I144" s="186"/>
    </row>
    <row r="145" spans="1:9" s="198" customFormat="1" ht="12.75" hidden="1">
      <c r="A145" s="185" t="s">
        <v>374</v>
      </c>
      <c r="B145" s="185"/>
      <c r="C145" s="187">
        <f>C141</f>
        <v>20</v>
      </c>
      <c r="D145" s="187">
        <v>50</v>
      </c>
      <c r="E145" s="187"/>
      <c r="F145" s="209">
        <f t="shared" si="13"/>
        <v>1000</v>
      </c>
      <c r="G145" s="209">
        <f t="shared" si="14"/>
        <v>0</v>
      </c>
      <c r="H145" s="209">
        <f t="shared" si="15"/>
        <v>1000</v>
      </c>
      <c r="I145" s="186"/>
    </row>
    <row r="146" spans="1:9" s="198" customFormat="1" ht="12.75" hidden="1">
      <c r="A146" s="185" t="s">
        <v>375</v>
      </c>
      <c r="B146" s="185" t="s">
        <v>370</v>
      </c>
      <c r="C146" s="187">
        <v>1</v>
      </c>
      <c r="D146" s="187">
        <f>3*10*D139/20</f>
        <v>937.5</v>
      </c>
      <c r="E146" s="187">
        <f>3*10*E139/20</f>
        <v>3375</v>
      </c>
      <c r="F146" s="209">
        <f t="shared" si="13"/>
        <v>937.5</v>
      </c>
      <c r="G146" s="209">
        <f t="shared" si="14"/>
        <v>3375</v>
      </c>
      <c r="H146" s="209">
        <f t="shared" si="15"/>
        <v>4312.5</v>
      </c>
      <c r="I146" s="186"/>
    </row>
    <row r="147" spans="1:9" s="198" customFormat="1" ht="12.75" hidden="1">
      <c r="A147" s="184" t="s">
        <v>376</v>
      </c>
      <c r="B147" s="185"/>
      <c r="C147" s="187"/>
      <c r="D147" s="187"/>
      <c r="E147" s="187"/>
      <c r="F147" s="209"/>
      <c r="G147" s="209"/>
      <c r="H147" s="209"/>
      <c r="I147" s="186"/>
    </row>
    <row r="148" spans="1:9" s="198" customFormat="1" ht="12.75" hidden="1">
      <c r="A148" s="185" t="s">
        <v>377</v>
      </c>
      <c r="B148" s="185" t="s">
        <v>378</v>
      </c>
      <c r="C148" s="187">
        <v>5</v>
      </c>
      <c r="D148" s="187"/>
      <c r="E148" s="187">
        <f>2.5*B216*4</f>
        <v>900</v>
      </c>
      <c r="F148" s="209">
        <f>D148*C148</f>
        <v>0</v>
      </c>
      <c r="G148" s="209">
        <f>C148*E148</f>
        <v>4500</v>
      </c>
      <c r="H148" s="209">
        <f>F148+G148</f>
        <v>4500</v>
      </c>
      <c r="I148" s="186"/>
    </row>
    <row r="149" spans="1:9" s="198" customFormat="1" ht="12.75" hidden="1">
      <c r="A149" s="185" t="s">
        <v>379</v>
      </c>
      <c r="B149" s="185" t="s">
        <v>380</v>
      </c>
      <c r="C149" s="187">
        <f>C148</f>
        <v>5</v>
      </c>
      <c r="D149" s="187"/>
      <c r="E149" s="187">
        <f>2.5*4*80</f>
        <v>800</v>
      </c>
      <c r="F149" s="209">
        <f>D149*C149</f>
        <v>0</v>
      </c>
      <c r="G149" s="209">
        <f>C149*E149</f>
        <v>4000</v>
      </c>
      <c r="H149" s="209">
        <f>F149+G149</f>
        <v>4000</v>
      </c>
      <c r="I149" s="186"/>
    </row>
    <row r="150" spans="1:9" s="198" customFormat="1" ht="12.75" hidden="1">
      <c r="A150" s="185" t="s">
        <v>381</v>
      </c>
      <c r="B150" s="185" t="s">
        <v>380</v>
      </c>
      <c r="C150" s="187">
        <f>C149</f>
        <v>5</v>
      </c>
      <c r="D150" s="187"/>
      <c r="E150" s="187">
        <f>400*4</f>
        <v>1600</v>
      </c>
      <c r="F150" s="209">
        <f>D150*C150</f>
        <v>0</v>
      </c>
      <c r="G150" s="209">
        <f>C150*E150</f>
        <v>8000</v>
      </c>
      <c r="H150" s="209">
        <f>F150+G150</f>
        <v>8000</v>
      </c>
      <c r="I150" s="186"/>
    </row>
    <row r="151" spans="1:9" s="198" customFormat="1" ht="12.75" hidden="1">
      <c r="A151" s="184" t="s">
        <v>382</v>
      </c>
      <c r="B151" s="185"/>
      <c r="C151" s="187"/>
      <c r="D151" s="187"/>
      <c r="E151" s="187"/>
      <c r="F151" s="209"/>
      <c r="G151" s="209"/>
      <c r="H151" s="209"/>
      <c r="I151" s="186"/>
    </row>
    <row r="152" spans="1:9" s="198" customFormat="1" ht="12.75" hidden="1">
      <c r="A152" s="185" t="s">
        <v>435</v>
      </c>
      <c r="B152" s="185" t="s">
        <v>383</v>
      </c>
      <c r="C152" s="187">
        <f>3*2*4+42</f>
        <v>66</v>
      </c>
      <c r="D152" s="187"/>
      <c r="E152" s="187">
        <v>200</v>
      </c>
      <c r="F152" s="209">
        <f aca="true" t="shared" si="16" ref="F152:F167">D152*C152</f>
        <v>0</v>
      </c>
      <c r="G152" s="209">
        <f aca="true" t="shared" si="17" ref="G152:G167">C152*E152</f>
        <v>13200</v>
      </c>
      <c r="H152" s="209">
        <f aca="true" t="shared" si="18" ref="H152:H167">F152+G152</f>
        <v>13200</v>
      </c>
      <c r="I152" s="186"/>
    </row>
    <row r="153" spans="1:9" s="198" customFormat="1" ht="12.75" hidden="1">
      <c r="A153" s="185" t="s">
        <v>433</v>
      </c>
      <c r="B153" s="185" t="s">
        <v>368</v>
      </c>
      <c r="C153" s="187">
        <v>3</v>
      </c>
      <c r="D153" s="187"/>
      <c r="E153" s="187">
        <f>2000</f>
        <v>2000</v>
      </c>
      <c r="F153" s="209">
        <f t="shared" si="16"/>
        <v>0</v>
      </c>
      <c r="G153" s="209">
        <f t="shared" si="17"/>
        <v>6000</v>
      </c>
      <c r="H153" s="209">
        <f t="shared" si="18"/>
        <v>6000</v>
      </c>
      <c r="I153" s="186"/>
    </row>
    <row r="154" spans="1:9" s="198" customFormat="1" ht="12.75" hidden="1">
      <c r="A154" s="185" t="s">
        <v>384</v>
      </c>
      <c r="B154" s="185" t="s">
        <v>368</v>
      </c>
      <c r="C154" s="187">
        <v>3</v>
      </c>
      <c r="D154" s="187"/>
      <c r="E154" s="187">
        <v>2000</v>
      </c>
      <c r="F154" s="209">
        <f t="shared" si="16"/>
        <v>0</v>
      </c>
      <c r="G154" s="209">
        <f t="shared" si="17"/>
        <v>6000</v>
      </c>
      <c r="H154" s="209">
        <f t="shared" si="18"/>
        <v>6000</v>
      </c>
      <c r="I154" s="186"/>
    </row>
    <row r="155" spans="1:9" s="198" customFormat="1" ht="12.75" hidden="1">
      <c r="A155" s="185" t="s">
        <v>385</v>
      </c>
      <c r="B155" s="185" t="s">
        <v>383</v>
      </c>
      <c r="C155" s="187">
        <f>3*4</f>
        <v>12</v>
      </c>
      <c r="D155" s="187"/>
      <c r="E155" s="187">
        <f>20*B216</f>
        <v>1800</v>
      </c>
      <c r="F155" s="209">
        <f t="shared" si="16"/>
        <v>0</v>
      </c>
      <c r="G155" s="209">
        <f t="shared" si="17"/>
        <v>21600</v>
      </c>
      <c r="H155" s="209">
        <f t="shared" si="18"/>
        <v>21600</v>
      </c>
      <c r="I155" s="186"/>
    </row>
    <row r="156" spans="1:9" s="198" customFormat="1" ht="12.75" hidden="1">
      <c r="A156" s="185" t="s">
        <v>386</v>
      </c>
      <c r="B156" s="185" t="s">
        <v>383</v>
      </c>
      <c r="C156" s="187">
        <f>3*4</f>
        <v>12</v>
      </c>
      <c r="D156" s="187"/>
      <c r="E156" s="187">
        <f>E155</f>
        <v>1800</v>
      </c>
      <c r="F156" s="209">
        <f t="shared" si="16"/>
        <v>0</v>
      </c>
      <c r="G156" s="209">
        <f t="shared" si="17"/>
        <v>21600</v>
      </c>
      <c r="H156" s="209">
        <f t="shared" si="18"/>
        <v>21600</v>
      </c>
      <c r="I156" s="186"/>
    </row>
    <row r="157" spans="1:9" s="198" customFormat="1" ht="25.5" hidden="1">
      <c r="A157" s="185" t="s">
        <v>387</v>
      </c>
      <c r="B157" s="185" t="s">
        <v>383</v>
      </c>
      <c r="C157" s="187">
        <f>3*4</f>
        <v>12</v>
      </c>
      <c r="D157" s="187"/>
      <c r="E157" s="187">
        <v>600</v>
      </c>
      <c r="F157" s="209">
        <f t="shared" si="16"/>
        <v>0</v>
      </c>
      <c r="G157" s="209">
        <f t="shared" si="17"/>
        <v>7200</v>
      </c>
      <c r="H157" s="209">
        <f t="shared" si="18"/>
        <v>7200</v>
      </c>
      <c r="I157" s="186"/>
    </row>
    <row r="158" spans="1:9" s="198" customFormat="1" ht="12.75" hidden="1">
      <c r="A158" s="185" t="s">
        <v>388</v>
      </c>
      <c r="B158" s="185" t="s">
        <v>389</v>
      </c>
      <c r="C158" s="187">
        <v>4</v>
      </c>
      <c r="D158" s="187"/>
      <c r="E158" s="187">
        <v>8000</v>
      </c>
      <c r="F158" s="209">
        <f t="shared" si="16"/>
        <v>0</v>
      </c>
      <c r="G158" s="209">
        <f t="shared" si="17"/>
        <v>32000</v>
      </c>
      <c r="H158" s="209">
        <f t="shared" si="18"/>
        <v>32000</v>
      </c>
      <c r="I158" s="186"/>
    </row>
    <row r="159" spans="1:9" s="198" customFormat="1" ht="12.75" hidden="1">
      <c r="A159" s="185" t="s">
        <v>390</v>
      </c>
      <c r="B159" s="185" t="s">
        <v>383</v>
      </c>
      <c r="C159" s="187">
        <v>42</v>
      </c>
      <c r="D159" s="187"/>
      <c r="E159" s="187">
        <v>200</v>
      </c>
      <c r="F159" s="209">
        <f t="shared" si="16"/>
        <v>0</v>
      </c>
      <c r="G159" s="209">
        <f t="shared" si="17"/>
        <v>8400</v>
      </c>
      <c r="H159" s="209">
        <f t="shared" si="18"/>
        <v>8400</v>
      </c>
      <c r="I159" s="186"/>
    </row>
    <row r="160" spans="1:9" s="198" customFormat="1" ht="12.75" hidden="1">
      <c r="A160" s="185" t="s">
        <v>391</v>
      </c>
      <c r="B160" s="185" t="s">
        <v>383</v>
      </c>
      <c r="C160" s="187">
        <v>42</v>
      </c>
      <c r="D160" s="187"/>
      <c r="E160" s="187">
        <v>100</v>
      </c>
      <c r="F160" s="209">
        <f t="shared" si="16"/>
        <v>0</v>
      </c>
      <c r="G160" s="209">
        <f t="shared" si="17"/>
        <v>4200</v>
      </c>
      <c r="H160" s="209">
        <f t="shared" si="18"/>
        <v>4200</v>
      </c>
      <c r="I160" s="186"/>
    </row>
    <row r="161" spans="1:9" s="198" customFormat="1" ht="25.5" hidden="1">
      <c r="A161" s="185" t="s">
        <v>392</v>
      </c>
      <c r="B161" s="185" t="s">
        <v>389</v>
      </c>
      <c r="C161" s="187">
        <v>4</v>
      </c>
      <c r="D161" s="187"/>
      <c r="E161" s="187"/>
      <c r="F161" s="209">
        <f t="shared" si="16"/>
        <v>0</v>
      </c>
      <c r="G161" s="209">
        <f t="shared" si="17"/>
        <v>0</v>
      </c>
      <c r="H161" s="209">
        <f t="shared" si="18"/>
        <v>0</v>
      </c>
      <c r="I161" s="186"/>
    </row>
    <row r="162" spans="1:9" s="198" customFormat="1" ht="25.5" hidden="1">
      <c r="A162" s="185" t="s">
        <v>393</v>
      </c>
      <c r="B162" s="185" t="s">
        <v>389</v>
      </c>
      <c r="C162" s="187">
        <v>4</v>
      </c>
      <c r="D162" s="187">
        <v>4000</v>
      </c>
      <c r="E162" s="187">
        <v>3000</v>
      </c>
      <c r="F162" s="209">
        <f t="shared" si="16"/>
        <v>16000</v>
      </c>
      <c r="G162" s="209">
        <f t="shared" si="17"/>
        <v>12000</v>
      </c>
      <c r="H162" s="209">
        <f t="shared" si="18"/>
        <v>28000</v>
      </c>
      <c r="I162" s="186"/>
    </row>
    <row r="163" spans="1:9" s="198" customFormat="1" ht="12.75" hidden="1">
      <c r="A163" s="185" t="s">
        <v>394</v>
      </c>
      <c r="B163" s="185" t="s">
        <v>395</v>
      </c>
      <c r="C163" s="187">
        <v>1</v>
      </c>
      <c r="D163" s="187">
        <v>7000</v>
      </c>
      <c r="E163" s="187"/>
      <c r="F163" s="209">
        <f t="shared" si="16"/>
        <v>7000</v>
      </c>
      <c r="G163" s="209">
        <f t="shared" si="17"/>
        <v>0</v>
      </c>
      <c r="H163" s="209">
        <f t="shared" si="18"/>
        <v>7000</v>
      </c>
      <c r="I163" s="186"/>
    </row>
    <row r="164" spans="1:9" s="198" customFormat="1" ht="38.25" hidden="1">
      <c r="A164" s="185" t="s">
        <v>2</v>
      </c>
      <c r="B164" s="185" t="s">
        <v>395</v>
      </c>
      <c r="C164" s="187">
        <v>1</v>
      </c>
      <c r="D164" s="187">
        <v>7000</v>
      </c>
      <c r="E164" s="187"/>
      <c r="F164" s="209">
        <f t="shared" si="16"/>
        <v>7000</v>
      </c>
      <c r="G164" s="209">
        <f t="shared" si="17"/>
        <v>0</v>
      </c>
      <c r="H164" s="209">
        <f t="shared" si="18"/>
        <v>7000</v>
      </c>
      <c r="I164" s="186"/>
    </row>
    <row r="165" spans="1:9" s="198" customFormat="1" ht="38.25" hidden="1">
      <c r="A165" s="185" t="s">
        <v>396</v>
      </c>
      <c r="B165" s="185" t="s">
        <v>370</v>
      </c>
      <c r="C165" s="187">
        <v>1</v>
      </c>
      <c r="D165" s="187">
        <v>15000</v>
      </c>
      <c r="E165" s="187">
        <v>10000</v>
      </c>
      <c r="F165" s="209">
        <f t="shared" si="16"/>
        <v>15000</v>
      </c>
      <c r="G165" s="209">
        <f t="shared" si="17"/>
        <v>10000</v>
      </c>
      <c r="H165" s="209">
        <f t="shared" si="18"/>
        <v>25000</v>
      </c>
      <c r="I165" s="186"/>
    </row>
    <row r="166" spans="1:9" s="198" customFormat="1" ht="25.5" hidden="1">
      <c r="A166" s="185" t="s">
        <v>431</v>
      </c>
      <c r="B166" s="185" t="s">
        <v>370</v>
      </c>
      <c r="C166" s="187">
        <v>1</v>
      </c>
      <c r="D166" s="187">
        <v>10000</v>
      </c>
      <c r="E166" s="187">
        <v>10000</v>
      </c>
      <c r="F166" s="209">
        <f>D166*C166</f>
        <v>10000</v>
      </c>
      <c r="G166" s="209">
        <f>C166*E166</f>
        <v>10000</v>
      </c>
      <c r="H166" s="209">
        <f>F166+G166</f>
        <v>20000</v>
      </c>
      <c r="I166" s="186"/>
    </row>
    <row r="167" spans="1:9" s="198" customFormat="1" ht="25.5" hidden="1">
      <c r="A167" s="185" t="s">
        <v>432</v>
      </c>
      <c r="B167" s="185" t="s">
        <v>370</v>
      </c>
      <c r="C167" s="187">
        <v>1</v>
      </c>
      <c r="D167" s="187">
        <v>10572.5</v>
      </c>
      <c r="E167" s="210">
        <f>E166+1135</f>
        <v>11135</v>
      </c>
      <c r="F167" s="209">
        <f t="shared" si="16"/>
        <v>10572.5</v>
      </c>
      <c r="G167" s="209">
        <f t="shared" si="17"/>
        <v>11135</v>
      </c>
      <c r="H167" s="209">
        <f t="shared" si="18"/>
        <v>21707.5</v>
      </c>
      <c r="I167" s="186"/>
    </row>
    <row r="168" spans="1:9" s="198" customFormat="1" ht="12.75" hidden="1">
      <c r="A168" s="185" t="s">
        <v>397</v>
      </c>
      <c r="B168" s="185" t="s">
        <v>398</v>
      </c>
      <c r="C168" s="187">
        <v>4</v>
      </c>
      <c r="D168" s="187">
        <f>3*SUM(E140:E142)+SUM(D143:D144)+3*D145</f>
        <v>1985</v>
      </c>
      <c r="E168" s="187">
        <f>3*E139</f>
        <v>6750</v>
      </c>
      <c r="F168" s="209">
        <f>D168*C168</f>
        <v>7940</v>
      </c>
      <c r="G168" s="209">
        <f>C168*E168</f>
        <v>27000</v>
      </c>
      <c r="H168" s="209">
        <f>F168+G168</f>
        <v>34940</v>
      </c>
      <c r="I168" s="186"/>
    </row>
    <row r="169" spans="1:9" s="198" customFormat="1" ht="12.75" hidden="1">
      <c r="A169" s="188" t="s">
        <v>399</v>
      </c>
      <c r="B169" s="188"/>
      <c r="C169" s="189"/>
      <c r="D169" s="189"/>
      <c r="E169" s="189"/>
      <c r="F169" s="211">
        <f>SUM(F138:F168)</f>
        <v>99150</v>
      </c>
      <c r="G169" s="211">
        <f>SUM(G138:G168)</f>
        <v>261060</v>
      </c>
      <c r="H169" s="211">
        <f>SUM(H138:H168)</f>
        <v>360210</v>
      </c>
      <c r="I169" s="186"/>
    </row>
    <row r="170" s="198" customFormat="1" ht="12.75" hidden="1"/>
    <row r="171" s="198" customFormat="1" ht="12.75" hidden="1"/>
    <row r="172" s="198" customFormat="1" ht="12.75" hidden="1">
      <c r="A172" s="197" t="s">
        <v>400</v>
      </c>
    </row>
    <row r="173" spans="1:5" s="198" customFormat="1" ht="12.75" hidden="1">
      <c r="A173" s="182" t="s">
        <v>357</v>
      </c>
      <c r="B173" s="182" t="s">
        <v>231</v>
      </c>
      <c r="C173" s="182" t="s">
        <v>362</v>
      </c>
      <c r="D173" s="182" t="s">
        <v>4</v>
      </c>
      <c r="E173" s="183" t="s">
        <v>363</v>
      </c>
    </row>
    <row r="174" spans="1:5" s="198" customFormat="1" ht="12.75" hidden="1">
      <c r="A174" s="185" t="s">
        <v>322</v>
      </c>
      <c r="B174" s="187">
        <f>'DP2'!G137</f>
        <v>19050</v>
      </c>
      <c r="C174" s="187">
        <f>'DP2'!H137</f>
        <v>38640</v>
      </c>
      <c r="D174" s="187">
        <f>B174+C174</f>
        <v>57690</v>
      </c>
      <c r="E174" s="186"/>
    </row>
    <row r="175" spans="1:5" s="198" customFormat="1" ht="12.75" hidden="1">
      <c r="A175" s="212" t="s">
        <v>331</v>
      </c>
      <c r="B175" s="209"/>
      <c r="C175" s="209"/>
      <c r="D175" s="209"/>
      <c r="E175" s="213"/>
    </row>
    <row r="176" spans="1:5" s="198" customFormat="1" ht="12.75" hidden="1">
      <c r="A176" s="212" t="s">
        <v>332</v>
      </c>
      <c r="B176" s="209"/>
      <c r="C176" s="209"/>
      <c r="D176" s="209"/>
      <c r="E176" s="213"/>
    </row>
    <row r="177" spans="1:5" s="198" customFormat="1" ht="12.75" hidden="1">
      <c r="A177" s="212" t="s">
        <v>333</v>
      </c>
      <c r="B177" s="209"/>
      <c r="C177" s="209"/>
      <c r="D177" s="209"/>
      <c r="E177" s="213"/>
    </row>
    <row r="178" spans="1:5" s="198" customFormat="1" ht="12.75" hidden="1">
      <c r="A178" s="212" t="s">
        <v>325</v>
      </c>
      <c r="B178" s="209"/>
      <c r="C178" s="209"/>
      <c r="D178" s="209"/>
      <c r="E178" s="213"/>
    </row>
    <row r="179" spans="1:5" s="198" customFormat="1" ht="12.75" hidden="1">
      <c r="A179" s="212" t="s">
        <v>321</v>
      </c>
      <c r="B179" s="209"/>
      <c r="C179" s="209"/>
      <c r="D179" s="209"/>
      <c r="E179" s="213"/>
    </row>
    <row r="180" spans="1:5" s="198" customFormat="1" ht="12.75" hidden="1">
      <c r="A180" s="214" t="s">
        <v>399</v>
      </c>
      <c r="B180" s="211">
        <f>SUM(B174:B179)</f>
        <v>19050</v>
      </c>
      <c r="C180" s="211">
        <f>SUM(C174:C179)</f>
        <v>38640</v>
      </c>
      <c r="D180" s="211">
        <f>SUM(D174:D179)</f>
        <v>57690</v>
      </c>
      <c r="E180" s="213"/>
    </row>
    <row r="181" spans="1:5" s="198" customFormat="1" ht="12.75" hidden="1">
      <c r="A181" s="190"/>
      <c r="B181" s="191"/>
      <c r="C181" s="191"/>
      <c r="D181" s="191"/>
      <c r="E181" s="199"/>
    </row>
    <row r="182" s="198" customFormat="1" ht="12.75" hidden="1"/>
    <row r="183" spans="1:2" s="198" customFormat="1" ht="12.75" hidden="1">
      <c r="A183" s="197" t="s">
        <v>401</v>
      </c>
      <c r="B183" s="197"/>
    </row>
    <row r="184" spans="1:9" s="198" customFormat="1" ht="12.75" hidden="1">
      <c r="A184" s="182" t="s">
        <v>402</v>
      </c>
      <c r="B184" s="182" t="s">
        <v>358</v>
      </c>
      <c r="C184" s="182" t="s">
        <v>359</v>
      </c>
      <c r="D184" s="182" t="s">
        <v>360</v>
      </c>
      <c r="E184" s="182" t="s">
        <v>361</v>
      </c>
      <c r="F184" s="182" t="s">
        <v>231</v>
      </c>
      <c r="G184" s="182" t="s">
        <v>362</v>
      </c>
      <c r="H184" s="182" t="s">
        <v>4</v>
      </c>
      <c r="I184" s="183" t="s">
        <v>363</v>
      </c>
    </row>
    <row r="185" spans="1:9" s="198" customFormat="1" ht="12.75" hidden="1">
      <c r="A185" s="185" t="s">
        <v>403</v>
      </c>
      <c r="B185" s="185" t="s">
        <v>383</v>
      </c>
      <c r="C185" s="187"/>
      <c r="D185" s="187"/>
      <c r="E185" s="187"/>
      <c r="F185" s="187"/>
      <c r="G185" s="187"/>
      <c r="H185" s="187"/>
      <c r="I185" s="186"/>
    </row>
    <row r="186" spans="1:9" s="198" customFormat="1" ht="12.75" hidden="1">
      <c r="A186" s="185" t="s">
        <v>433</v>
      </c>
      <c r="B186" s="185" t="s">
        <v>368</v>
      </c>
      <c r="C186" s="187"/>
      <c r="D186" s="187"/>
      <c r="E186" s="187"/>
      <c r="F186" s="187"/>
      <c r="G186" s="187"/>
      <c r="H186" s="187"/>
      <c r="I186" s="186"/>
    </row>
    <row r="187" spans="1:9" s="198" customFormat="1" ht="25.5" hidden="1">
      <c r="A187" s="185" t="s">
        <v>387</v>
      </c>
      <c r="B187" s="185" t="s">
        <v>383</v>
      </c>
      <c r="C187" s="187"/>
      <c r="D187" s="187"/>
      <c r="E187" s="187"/>
      <c r="F187" s="187"/>
      <c r="G187" s="187"/>
      <c r="H187" s="187"/>
      <c r="I187" s="186"/>
    </row>
    <row r="188" spans="1:9" s="198" customFormat="1" ht="12.75" hidden="1">
      <c r="A188" s="185" t="s">
        <v>434</v>
      </c>
      <c r="B188" s="185" t="s">
        <v>383</v>
      </c>
      <c r="C188" s="187"/>
      <c r="D188" s="187"/>
      <c r="E188" s="187"/>
      <c r="F188" s="187"/>
      <c r="G188" s="187"/>
      <c r="H188" s="187"/>
      <c r="I188" s="186"/>
    </row>
    <row r="189" spans="1:9" s="198" customFormat="1" ht="12.75" hidden="1">
      <c r="A189" s="185" t="s">
        <v>391</v>
      </c>
      <c r="B189" s="185" t="s">
        <v>383</v>
      </c>
      <c r="C189" s="187"/>
      <c r="D189" s="187"/>
      <c r="E189" s="187"/>
      <c r="F189" s="187"/>
      <c r="G189" s="187"/>
      <c r="H189" s="187"/>
      <c r="I189" s="186"/>
    </row>
    <row r="190" spans="1:9" s="198" customFormat="1" ht="12.75" hidden="1">
      <c r="A190" s="188" t="s">
        <v>399</v>
      </c>
      <c r="B190" s="188"/>
      <c r="C190" s="189"/>
      <c r="D190" s="189"/>
      <c r="E190" s="189"/>
      <c r="F190" s="189">
        <f>SUM(F185:F189)</f>
        <v>0</v>
      </c>
      <c r="G190" s="189">
        <f>SUM(G185:G189)</f>
        <v>0</v>
      </c>
      <c r="H190" s="189">
        <f>SUM(H185:H189)</f>
        <v>0</v>
      </c>
      <c r="I190" s="186"/>
    </row>
    <row r="191" spans="1:9" s="198" customFormat="1" ht="12.75" hidden="1">
      <c r="A191" s="190"/>
      <c r="B191" s="190"/>
      <c r="C191" s="191"/>
      <c r="D191" s="191"/>
      <c r="E191" s="191"/>
      <c r="F191" s="191"/>
      <c r="G191" s="191"/>
      <c r="H191" s="191"/>
      <c r="I191" s="199"/>
    </row>
    <row r="192" spans="1:9" s="198" customFormat="1" ht="12.75" hidden="1">
      <c r="A192" s="190"/>
      <c r="B192" s="190"/>
      <c r="C192" s="191"/>
      <c r="D192" s="191"/>
      <c r="E192" s="191"/>
      <c r="F192" s="191"/>
      <c r="G192" s="191"/>
      <c r="H192" s="191"/>
      <c r="I192" s="199"/>
    </row>
    <row r="193" s="198" customFormat="1" ht="12.75" hidden="1">
      <c r="A193" s="197" t="s">
        <v>404</v>
      </c>
    </row>
    <row r="194" spans="1:5" s="198" customFormat="1" ht="12.75" hidden="1">
      <c r="A194" s="182" t="s">
        <v>357</v>
      </c>
      <c r="B194" s="182" t="s">
        <v>231</v>
      </c>
      <c r="C194" s="182" t="s">
        <v>362</v>
      </c>
      <c r="D194" s="182" t="s">
        <v>4</v>
      </c>
      <c r="E194" s="183" t="s">
        <v>363</v>
      </c>
    </row>
    <row r="195" spans="1:5" s="198" customFormat="1" ht="12.75" hidden="1">
      <c r="A195" s="185" t="s">
        <v>322</v>
      </c>
      <c r="B195" s="187">
        <f>F169+B180</f>
        <v>118200</v>
      </c>
      <c r="C195" s="187">
        <f>G169+C180</f>
        <v>299700</v>
      </c>
      <c r="D195" s="187">
        <f>B195+C195</f>
        <v>417900</v>
      </c>
      <c r="E195" s="186"/>
    </row>
    <row r="196" spans="1:5" s="198" customFormat="1" ht="12.75" hidden="1">
      <c r="A196" s="185" t="s">
        <v>331</v>
      </c>
      <c r="B196" s="187"/>
      <c r="C196" s="187"/>
      <c r="D196" s="187"/>
      <c r="E196" s="186"/>
    </row>
    <row r="197" spans="1:5" s="198" customFormat="1" ht="12.75" hidden="1">
      <c r="A197" s="185" t="s">
        <v>332</v>
      </c>
      <c r="B197" s="187"/>
      <c r="C197" s="187"/>
      <c r="D197" s="187"/>
      <c r="E197" s="186"/>
    </row>
    <row r="198" spans="1:5" s="198" customFormat="1" ht="12.75" hidden="1">
      <c r="A198" s="185" t="s">
        <v>333</v>
      </c>
      <c r="B198" s="187"/>
      <c r="C198" s="187"/>
      <c r="D198" s="187"/>
      <c r="E198" s="186"/>
    </row>
    <row r="199" spans="1:5" s="198" customFormat="1" ht="12.75" hidden="1">
      <c r="A199" s="185" t="s">
        <v>325</v>
      </c>
      <c r="B199" s="187"/>
      <c r="C199" s="187"/>
      <c r="D199" s="187"/>
      <c r="E199" s="186"/>
    </row>
    <row r="200" spans="1:5" s="198" customFormat="1" ht="12.75" hidden="1">
      <c r="A200" s="185" t="s">
        <v>321</v>
      </c>
      <c r="B200" s="187"/>
      <c r="C200" s="187"/>
      <c r="D200" s="187"/>
      <c r="E200" s="186"/>
    </row>
    <row r="201" spans="1:5" s="198" customFormat="1" ht="12.75" hidden="1">
      <c r="A201" s="188" t="s">
        <v>399</v>
      </c>
      <c r="B201" s="189">
        <f>SUM(B195:B200)</f>
        <v>118200</v>
      </c>
      <c r="C201" s="189">
        <f>SUM(C195:C200)</f>
        <v>299700</v>
      </c>
      <c r="D201" s="189">
        <f>SUM(D195:D200)</f>
        <v>417900</v>
      </c>
      <c r="E201" s="186"/>
    </row>
    <row r="202" spans="1:9" s="198" customFormat="1" ht="12.75" hidden="1">
      <c r="A202" s="190"/>
      <c r="B202" s="190"/>
      <c r="C202" s="191"/>
      <c r="D202" s="191"/>
      <c r="E202" s="191"/>
      <c r="F202" s="191"/>
      <c r="G202" s="191"/>
      <c r="H202" s="191"/>
      <c r="I202" s="199"/>
    </row>
    <row r="203" s="198" customFormat="1" ht="12.75" hidden="1"/>
    <row r="204" s="198" customFormat="1" ht="12.75" hidden="1"/>
    <row r="205" s="198" customFormat="1" ht="12.75" hidden="1"/>
    <row r="206" s="198" customFormat="1" ht="12.75" hidden="1"/>
    <row r="207" s="198" customFormat="1" ht="12.75" hidden="1"/>
    <row r="208" s="198" customFormat="1" ht="12.75" hidden="1"/>
    <row r="209" s="198" customFormat="1" ht="12.75" hidden="1"/>
    <row r="210" s="198" customFormat="1" ht="12.75" hidden="1"/>
    <row r="211" spans="1:2" s="198" customFormat="1" ht="24.75" hidden="1">
      <c r="A211" s="192" t="s">
        <v>357</v>
      </c>
      <c r="B211" s="183" t="s">
        <v>405</v>
      </c>
    </row>
    <row r="212" spans="1:2" s="198" customFormat="1" ht="12.75" hidden="1">
      <c r="A212" s="193" t="s">
        <v>365</v>
      </c>
      <c r="B212" s="194"/>
    </row>
    <row r="213" spans="1:2" s="198" customFormat="1" ht="12.75" hidden="1">
      <c r="A213" s="185" t="s">
        <v>406</v>
      </c>
      <c r="B213" s="194">
        <v>1</v>
      </c>
    </row>
    <row r="214" spans="1:2" s="198" customFormat="1" ht="12.75" hidden="1">
      <c r="A214" s="185" t="s">
        <v>407</v>
      </c>
      <c r="B214" s="194">
        <v>25</v>
      </c>
    </row>
    <row r="215" spans="1:2" s="198" customFormat="1" ht="12.75" hidden="1">
      <c r="A215" s="185" t="s">
        <v>408</v>
      </c>
      <c r="B215" s="194">
        <v>25</v>
      </c>
    </row>
    <row r="216" spans="1:2" s="198" customFormat="1" ht="12.75" hidden="1">
      <c r="A216" s="185" t="s">
        <v>409</v>
      </c>
      <c r="B216" s="194">
        <v>90</v>
      </c>
    </row>
    <row r="217" spans="1:2" s="198" customFormat="1" ht="12.75" hidden="1">
      <c r="A217" s="195" t="s">
        <v>410</v>
      </c>
      <c r="B217" s="194">
        <f>B213*B214*B216</f>
        <v>2250</v>
      </c>
    </row>
    <row r="218" spans="1:2" s="198" customFormat="1" ht="12.75" hidden="1">
      <c r="A218" s="195" t="s">
        <v>411</v>
      </c>
      <c r="B218" s="194">
        <f>B213*B214*B215</f>
        <v>625</v>
      </c>
    </row>
    <row r="219" spans="1:2" s="198" customFormat="1" ht="12.75" hidden="1">
      <c r="A219" s="193" t="s">
        <v>412</v>
      </c>
      <c r="B219" s="196"/>
    </row>
    <row r="220" spans="1:2" s="198" customFormat="1" ht="12.75" hidden="1">
      <c r="A220" s="185" t="s">
        <v>413</v>
      </c>
      <c r="B220" s="194">
        <v>120</v>
      </c>
    </row>
    <row r="221" spans="1:2" s="198" customFormat="1" ht="12.75" hidden="1">
      <c r="A221" s="185" t="s">
        <v>369</v>
      </c>
      <c r="B221" s="194"/>
    </row>
    <row r="222" spans="1:2" s="198" customFormat="1" ht="25.5" hidden="1">
      <c r="A222" s="185" t="s">
        <v>371</v>
      </c>
      <c r="B222" s="194"/>
    </row>
    <row r="223" spans="1:2" s="198" customFormat="1" ht="12.75" hidden="1">
      <c r="A223" s="195" t="s">
        <v>414</v>
      </c>
      <c r="B223" s="194">
        <f>SUM(B220:B222)</f>
        <v>120</v>
      </c>
    </row>
    <row r="224" spans="1:2" s="198" customFormat="1" ht="12.75" hidden="1">
      <c r="A224" s="193" t="s">
        <v>415</v>
      </c>
      <c r="B224" s="194"/>
    </row>
    <row r="225" spans="1:2" s="198" customFormat="1" ht="12.75" hidden="1">
      <c r="A225" s="185" t="s">
        <v>372</v>
      </c>
      <c r="B225" s="194"/>
    </row>
    <row r="226" spans="1:2" s="198" customFormat="1" ht="25.5" hidden="1">
      <c r="A226" s="185" t="s">
        <v>373</v>
      </c>
      <c r="B226" s="194"/>
    </row>
    <row r="227" spans="1:2" s="198" customFormat="1" ht="12.75" hidden="1">
      <c r="A227" s="185" t="s">
        <v>374</v>
      </c>
      <c r="B227" s="194"/>
    </row>
    <row r="228" spans="1:2" s="198" customFormat="1" ht="12.75" hidden="1">
      <c r="A228" s="195" t="s">
        <v>416</v>
      </c>
      <c r="B228" s="194">
        <f>SUM(B225:B227)</f>
        <v>0</v>
      </c>
    </row>
    <row r="229" spans="1:2" s="198" customFormat="1" ht="12.75" hidden="1">
      <c r="A229" s="193" t="s">
        <v>417</v>
      </c>
      <c r="B229" s="200">
        <f>B217+B223</f>
        <v>2370</v>
      </c>
    </row>
    <row r="230" spans="1:2" s="198" customFormat="1" ht="12.75" hidden="1">
      <c r="A230" s="193" t="s">
        <v>418</v>
      </c>
      <c r="B230" s="200">
        <f>B218+B228</f>
        <v>625</v>
      </c>
    </row>
    <row r="231" spans="1:2" s="198" customFormat="1" ht="12.75" hidden="1">
      <c r="A231" s="188" t="s">
        <v>399</v>
      </c>
      <c r="B231" s="200">
        <f>B229+B230</f>
        <v>2995</v>
      </c>
    </row>
    <row r="232" s="198" customFormat="1" ht="12.75" hidden="1"/>
    <row r="233" s="198" customFormat="1" ht="12.75" hidden="1"/>
    <row r="234" spans="1:6" s="198" customFormat="1" ht="12.75" hidden="1">
      <c r="A234" s="204"/>
      <c r="B234" s="204" t="s">
        <v>429</v>
      </c>
      <c r="C234" s="204" t="s">
        <v>430</v>
      </c>
      <c r="D234" s="204"/>
      <c r="E234" s="201"/>
      <c r="F234" s="201"/>
    </row>
    <row r="235" spans="1:6" s="198" customFormat="1" ht="12.75" hidden="1">
      <c r="A235" s="205" t="s">
        <v>109</v>
      </c>
      <c r="B235" s="204"/>
      <c r="C235" s="204"/>
      <c r="D235" s="204"/>
      <c r="E235" s="201"/>
      <c r="F235" s="201"/>
    </row>
    <row r="236" spans="1:4" s="198" customFormat="1" ht="12.75" hidden="1">
      <c r="A236" s="206" t="s">
        <v>385</v>
      </c>
      <c r="B236" s="208">
        <f>F155</f>
        <v>0</v>
      </c>
      <c r="C236" s="208">
        <f>G155</f>
        <v>21600</v>
      </c>
      <c r="D236" s="204"/>
    </row>
    <row r="237" spans="1:4" s="198" customFormat="1" ht="12.75" hidden="1">
      <c r="A237" s="206" t="s">
        <v>386</v>
      </c>
      <c r="B237" s="208">
        <f>F156</f>
        <v>0</v>
      </c>
      <c r="C237" s="208">
        <f>G156</f>
        <v>21600</v>
      </c>
      <c r="D237" s="204"/>
    </row>
    <row r="238" spans="1:4" s="198" customFormat="1" ht="12.75" hidden="1">
      <c r="A238" s="207" t="s">
        <v>108</v>
      </c>
      <c r="B238" s="204"/>
      <c r="C238" s="204"/>
      <c r="D238" s="204"/>
    </row>
    <row r="239" spans="1:4" s="198" customFormat="1" ht="12.75" hidden="1">
      <c r="A239" s="206" t="s">
        <v>442</v>
      </c>
      <c r="B239" s="208">
        <f>F161</f>
        <v>0</v>
      </c>
      <c r="C239" s="208">
        <f>G161</f>
        <v>0</v>
      </c>
      <c r="D239" s="204"/>
    </row>
    <row r="240" spans="1:4" s="198" customFormat="1" ht="12.75" hidden="1">
      <c r="A240" s="206" t="s">
        <v>443</v>
      </c>
      <c r="B240" s="208">
        <f>F166</f>
        <v>10000</v>
      </c>
      <c r="C240" s="208">
        <f>G166</f>
        <v>10000</v>
      </c>
      <c r="D240" s="204"/>
    </row>
    <row r="241" spans="1:4" s="198" customFormat="1" ht="12.75" hidden="1">
      <c r="A241" s="206" t="s">
        <v>444</v>
      </c>
      <c r="B241" s="208">
        <f>F167</f>
        <v>10572.5</v>
      </c>
      <c r="C241" s="208">
        <f>G167</f>
        <v>11135</v>
      </c>
      <c r="D241" s="204"/>
    </row>
    <row r="242" spans="1:4" s="198" customFormat="1" ht="12.75" hidden="1">
      <c r="A242" s="206" t="s">
        <v>445</v>
      </c>
      <c r="B242" s="208">
        <f>F165</f>
        <v>15000</v>
      </c>
      <c r="C242" s="208">
        <f>G165</f>
        <v>10000</v>
      </c>
      <c r="D242" s="204"/>
    </row>
    <row r="243" spans="1:4" s="198" customFormat="1" ht="12.75" hidden="1">
      <c r="A243" s="206" t="s">
        <v>446</v>
      </c>
      <c r="B243" s="208">
        <f>B180</f>
        <v>19050</v>
      </c>
      <c r="C243" s="208">
        <f>C180</f>
        <v>38640</v>
      </c>
      <c r="D243" s="204"/>
    </row>
    <row r="244" spans="1:4" s="198" customFormat="1" ht="12.75" hidden="1">
      <c r="A244" s="207" t="s">
        <v>95</v>
      </c>
      <c r="B244" s="204"/>
      <c r="C244" s="204"/>
      <c r="D244" s="204"/>
    </row>
    <row r="245" spans="1:4" s="198" customFormat="1" ht="25.5" hidden="1">
      <c r="A245" s="206" t="s">
        <v>387</v>
      </c>
      <c r="B245" s="208">
        <f>F157+F187</f>
        <v>0</v>
      </c>
      <c r="C245" s="208">
        <f>G157+G187</f>
        <v>7200</v>
      </c>
      <c r="D245" s="204"/>
    </row>
    <row r="246" spans="1:4" s="198" customFormat="1" ht="12.75" hidden="1">
      <c r="A246" s="207" t="s">
        <v>91</v>
      </c>
      <c r="B246" s="204"/>
      <c r="C246" s="204"/>
      <c r="D246" s="204"/>
    </row>
    <row r="247" spans="1:4" s="198" customFormat="1" ht="12.75" hidden="1">
      <c r="A247" s="206" t="s">
        <v>427</v>
      </c>
      <c r="B247" s="208">
        <f>SUM(F148:F150)</f>
        <v>0</v>
      </c>
      <c r="C247" s="208">
        <f>SUM(G148:G150)</f>
        <v>16500</v>
      </c>
      <c r="D247" s="204"/>
    </row>
    <row r="248" spans="1:4" s="198" customFormat="1" ht="12.75" hidden="1">
      <c r="A248" s="207" t="s">
        <v>105</v>
      </c>
      <c r="D248" s="204"/>
    </row>
    <row r="249" spans="1:4" s="198" customFormat="1" ht="38.25" hidden="1">
      <c r="A249" s="206" t="s">
        <v>205</v>
      </c>
      <c r="B249" s="208">
        <f>F162</f>
        <v>16000</v>
      </c>
      <c r="C249" s="208">
        <f>G162</f>
        <v>12000</v>
      </c>
      <c r="D249" s="204"/>
    </row>
    <row r="250" spans="1:4" s="198" customFormat="1" ht="12.75" hidden="1">
      <c r="A250" s="206" t="s">
        <v>397</v>
      </c>
      <c r="B250" s="208">
        <f>F168</f>
        <v>7940</v>
      </c>
      <c r="C250" s="208">
        <f>G168</f>
        <v>27000</v>
      </c>
      <c r="D250" s="204"/>
    </row>
    <row r="251" spans="1:4" s="198" customFormat="1" ht="12.75" hidden="1">
      <c r="A251" s="207" t="s">
        <v>94</v>
      </c>
      <c r="B251" s="204"/>
      <c r="C251" s="204"/>
      <c r="D251" s="204"/>
    </row>
    <row r="252" spans="1:4" s="198" customFormat="1" ht="12.75" hidden="1">
      <c r="A252" s="206" t="s">
        <v>375</v>
      </c>
      <c r="B252" s="208">
        <f>F146</f>
        <v>937.5</v>
      </c>
      <c r="C252" s="208">
        <f>G146</f>
        <v>3375</v>
      </c>
      <c r="D252" s="204"/>
    </row>
    <row r="253" spans="1:4" s="198" customFormat="1" ht="12.75" hidden="1">
      <c r="A253" s="206" t="s">
        <v>453</v>
      </c>
      <c r="B253" s="208">
        <f>F163</f>
        <v>7000</v>
      </c>
      <c r="C253" s="208">
        <f>G163</f>
        <v>0</v>
      </c>
      <c r="D253" s="204"/>
    </row>
    <row r="254" spans="1:4" s="198" customFormat="1" ht="12.75" hidden="1">
      <c r="A254" s="206" t="s">
        <v>454</v>
      </c>
      <c r="B254" s="208">
        <f>F164</f>
        <v>7000</v>
      </c>
      <c r="C254" s="208">
        <f>G164</f>
        <v>0</v>
      </c>
      <c r="D254" s="204"/>
    </row>
    <row r="255" spans="1:4" s="198" customFormat="1" ht="12.75" hidden="1">
      <c r="A255" s="206" t="s">
        <v>426</v>
      </c>
      <c r="B255" s="208">
        <f>SUM(F139:F145)</f>
        <v>24700</v>
      </c>
      <c r="C255" s="208">
        <f>SUM(G139:G145)</f>
        <v>50850</v>
      </c>
      <c r="D255" s="204"/>
    </row>
    <row r="256" spans="1:4" s="198" customFormat="1" ht="12.75" hidden="1">
      <c r="A256" s="207" t="s">
        <v>103</v>
      </c>
      <c r="B256" s="204"/>
      <c r="C256" s="204"/>
      <c r="D256" s="204"/>
    </row>
    <row r="257" spans="1:4" s="198" customFormat="1" ht="12.75" hidden="1">
      <c r="A257" s="206" t="s">
        <v>58</v>
      </c>
      <c r="B257" s="208">
        <f>F154</f>
        <v>0</v>
      </c>
      <c r="C257" s="208">
        <f>G154</f>
        <v>6000</v>
      </c>
      <c r="D257" s="204"/>
    </row>
    <row r="258" spans="1:4" s="198" customFormat="1" ht="12.75" hidden="1">
      <c r="A258" s="207" t="s">
        <v>90</v>
      </c>
      <c r="B258" s="204"/>
      <c r="C258" s="204"/>
      <c r="D258" s="204"/>
    </row>
    <row r="259" spans="1:4" s="198" customFormat="1" ht="12.75" hidden="1">
      <c r="A259" s="206" t="s">
        <v>354</v>
      </c>
      <c r="B259" s="208">
        <f>F153+F186</f>
        <v>0</v>
      </c>
      <c r="C259" s="208">
        <f>G153+G186</f>
        <v>6000</v>
      </c>
      <c r="D259" s="204"/>
    </row>
    <row r="260" spans="1:4" s="198" customFormat="1" ht="12.75" hidden="1">
      <c r="A260" s="206" t="s">
        <v>388</v>
      </c>
      <c r="B260" s="208">
        <f>F158</f>
        <v>0</v>
      </c>
      <c r="C260" s="208">
        <f>G158</f>
        <v>32000</v>
      </c>
      <c r="D260" s="204"/>
    </row>
    <row r="261" spans="1:4" s="198" customFormat="1" ht="12.75" hidden="1">
      <c r="A261" s="207" t="s">
        <v>122</v>
      </c>
      <c r="B261" s="204"/>
      <c r="C261" s="204"/>
      <c r="D261" s="204"/>
    </row>
    <row r="262" spans="1:4" s="198" customFormat="1" ht="12.75" hidden="1">
      <c r="A262" s="206" t="s">
        <v>390</v>
      </c>
      <c r="B262" s="208">
        <f>F159+F188</f>
        <v>0</v>
      </c>
      <c r="C262" s="208">
        <f>G159+G188</f>
        <v>8400</v>
      </c>
      <c r="D262" s="204"/>
    </row>
    <row r="263" spans="1:4" s="198" customFormat="1" ht="12.75" hidden="1">
      <c r="A263" s="206" t="s">
        <v>403</v>
      </c>
      <c r="B263" s="208">
        <f>F152+F185</f>
        <v>0</v>
      </c>
      <c r="C263" s="208">
        <f>G152+G185</f>
        <v>13200</v>
      </c>
      <c r="D263" s="204"/>
    </row>
    <row r="264" spans="1:4" s="198" customFormat="1" ht="12.75" hidden="1">
      <c r="A264" s="207" t="s">
        <v>124</v>
      </c>
      <c r="B264" s="204"/>
      <c r="C264" s="204"/>
      <c r="D264" s="204"/>
    </row>
    <row r="265" spans="1:4" s="198" customFormat="1" ht="12.75" hidden="1">
      <c r="A265" s="206" t="s">
        <v>391</v>
      </c>
      <c r="B265" s="208">
        <f>F160+F189</f>
        <v>0</v>
      </c>
      <c r="C265" s="208">
        <f>G160+G189</f>
        <v>4200</v>
      </c>
      <c r="D265" s="204"/>
    </row>
    <row r="266" spans="1:4" s="198" customFormat="1" ht="12.75" hidden="1">
      <c r="A266" s="206"/>
      <c r="B266" s="204">
        <f>SUM(B235:B265)</f>
        <v>118200</v>
      </c>
      <c r="C266" s="204">
        <f>SUM(C235:C265)</f>
        <v>299700</v>
      </c>
      <c r="D266" s="204"/>
    </row>
    <row r="267" spans="1:4" s="198" customFormat="1" ht="12.75" hidden="1">
      <c r="A267" s="206"/>
      <c r="B267" s="204"/>
      <c r="C267" s="204"/>
      <c r="D267" s="204"/>
    </row>
    <row r="268" spans="1:4" s="198" customFormat="1" ht="12.75" hidden="1">
      <c r="A268" s="206"/>
      <c r="B268" s="204">
        <v>118200</v>
      </c>
      <c r="C268" s="204">
        <v>300000</v>
      </c>
      <c r="D268" s="204"/>
    </row>
    <row r="269" spans="1:4" s="198" customFormat="1" ht="12.75" hidden="1">
      <c r="A269" s="206"/>
      <c r="B269" s="215">
        <f>B268-B266</f>
        <v>0</v>
      </c>
      <c r="C269" s="215">
        <f>C268-C266</f>
        <v>300</v>
      </c>
      <c r="D269" s="204"/>
    </row>
    <row r="270" s="198" customFormat="1" ht="12.75">
      <c r="A270" s="202"/>
    </row>
    <row r="271" s="198" customFormat="1" ht="12.75">
      <c r="A271" s="216" t="s">
        <v>456</v>
      </c>
    </row>
    <row r="272" spans="1:9" s="198" customFormat="1" ht="12.75" hidden="1">
      <c r="A272" s="182" t="s">
        <v>357</v>
      </c>
      <c r="B272" s="182" t="s">
        <v>358</v>
      </c>
      <c r="C272" s="182" t="s">
        <v>359</v>
      </c>
      <c r="D272" s="182" t="s">
        <v>360</v>
      </c>
      <c r="E272" s="182" t="s">
        <v>361</v>
      </c>
      <c r="F272" s="182" t="s">
        <v>231</v>
      </c>
      <c r="G272" s="182" t="s">
        <v>362</v>
      </c>
      <c r="H272" s="182" t="s">
        <v>4</v>
      </c>
      <c r="I272" s="183" t="s">
        <v>363</v>
      </c>
    </row>
    <row r="273" spans="1:9" s="198" customFormat="1" ht="12.75" hidden="1">
      <c r="A273" s="184" t="s">
        <v>364</v>
      </c>
      <c r="B273" s="185"/>
      <c r="C273" s="186"/>
      <c r="D273" s="186"/>
      <c r="E273" s="186"/>
      <c r="F273" s="186"/>
      <c r="G273" s="186"/>
      <c r="H273" s="186"/>
      <c r="I273" s="186"/>
    </row>
    <row r="274" spans="1:9" s="198" customFormat="1" ht="12.75" hidden="1">
      <c r="A274" s="185" t="s">
        <v>365</v>
      </c>
      <c r="B274" s="185" t="s">
        <v>366</v>
      </c>
      <c r="C274" s="187"/>
      <c r="D274" s="209">
        <f>B353</f>
        <v>0</v>
      </c>
      <c r="E274" s="209">
        <f>B352</f>
        <v>0</v>
      </c>
      <c r="F274" s="209">
        <f aca="true" t="shared" si="19" ref="F274:F281">D274*C274</f>
        <v>0</v>
      </c>
      <c r="G274" s="209">
        <f aca="true" t="shared" si="20" ref="G274:G281">C274*E274</f>
        <v>0</v>
      </c>
      <c r="H274" s="209">
        <f aca="true" t="shared" si="21" ref="H274:H281">F274+G274</f>
        <v>0</v>
      </c>
      <c r="I274" s="186"/>
    </row>
    <row r="275" spans="1:9" s="198" customFormat="1" ht="12.75" hidden="1">
      <c r="A275" s="185" t="s">
        <v>367</v>
      </c>
      <c r="B275" s="185" t="s">
        <v>368</v>
      </c>
      <c r="C275" s="187"/>
      <c r="D275" s="187"/>
      <c r="E275" s="187"/>
      <c r="F275" s="209">
        <f t="shared" si="19"/>
        <v>0</v>
      </c>
      <c r="G275" s="209">
        <f t="shared" si="20"/>
        <v>0</v>
      </c>
      <c r="H275" s="209">
        <f t="shared" si="21"/>
        <v>0</v>
      </c>
      <c r="I275" s="186"/>
    </row>
    <row r="276" spans="1:9" s="198" customFormat="1" ht="12.75" hidden="1">
      <c r="A276" s="185" t="s">
        <v>369</v>
      </c>
      <c r="B276" s="185" t="s">
        <v>370</v>
      </c>
      <c r="C276" s="187"/>
      <c r="D276" s="187"/>
      <c r="E276" s="187"/>
      <c r="F276" s="209">
        <f t="shared" si="19"/>
        <v>0</v>
      </c>
      <c r="G276" s="209">
        <f t="shared" si="20"/>
        <v>0</v>
      </c>
      <c r="H276" s="209">
        <f t="shared" si="21"/>
        <v>0</v>
      </c>
      <c r="I276" s="186"/>
    </row>
    <row r="277" spans="1:9" s="198" customFormat="1" ht="25.5" hidden="1">
      <c r="A277" s="185" t="s">
        <v>371</v>
      </c>
      <c r="B277" s="185" t="s">
        <v>370</v>
      </c>
      <c r="C277" s="187"/>
      <c r="D277" s="187"/>
      <c r="E277" s="187"/>
      <c r="F277" s="209">
        <f t="shared" si="19"/>
        <v>0</v>
      </c>
      <c r="G277" s="209">
        <f t="shared" si="20"/>
        <v>0</v>
      </c>
      <c r="H277" s="209">
        <f t="shared" si="21"/>
        <v>0</v>
      </c>
      <c r="I277" s="186"/>
    </row>
    <row r="278" spans="1:9" s="198" customFormat="1" ht="12.75" hidden="1">
      <c r="A278" s="185" t="s">
        <v>372</v>
      </c>
      <c r="B278" s="185" t="s">
        <v>370</v>
      </c>
      <c r="C278" s="187"/>
      <c r="D278" s="187"/>
      <c r="E278" s="187"/>
      <c r="F278" s="209">
        <f t="shared" si="19"/>
        <v>0</v>
      </c>
      <c r="G278" s="209">
        <f t="shared" si="20"/>
        <v>0</v>
      </c>
      <c r="H278" s="209">
        <f t="shared" si="21"/>
        <v>0</v>
      </c>
      <c r="I278" s="186"/>
    </row>
    <row r="279" spans="1:9" s="198" customFormat="1" ht="25.5" hidden="1">
      <c r="A279" s="185" t="s">
        <v>373</v>
      </c>
      <c r="B279" s="185" t="s">
        <v>370</v>
      </c>
      <c r="C279" s="187"/>
      <c r="D279" s="187"/>
      <c r="E279" s="187"/>
      <c r="F279" s="209">
        <f t="shared" si="19"/>
        <v>0</v>
      </c>
      <c r="G279" s="209">
        <f t="shared" si="20"/>
        <v>0</v>
      </c>
      <c r="H279" s="209">
        <f t="shared" si="21"/>
        <v>0</v>
      </c>
      <c r="I279" s="186"/>
    </row>
    <row r="280" spans="1:9" s="198" customFormat="1" ht="12.75" hidden="1">
      <c r="A280" s="185" t="s">
        <v>374</v>
      </c>
      <c r="B280" s="185"/>
      <c r="C280" s="187"/>
      <c r="D280" s="187"/>
      <c r="E280" s="187"/>
      <c r="F280" s="209">
        <f t="shared" si="19"/>
        <v>0</v>
      </c>
      <c r="G280" s="209">
        <f t="shared" si="20"/>
        <v>0</v>
      </c>
      <c r="H280" s="209">
        <f t="shared" si="21"/>
        <v>0</v>
      </c>
      <c r="I280" s="186"/>
    </row>
    <row r="281" spans="1:9" s="198" customFormat="1" ht="12.75" hidden="1">
      <c r="A281" s="185" t="s">
        <v>375</v>
      </c>
      <c r="B281" s="185" t="s">
        <v>370</v>
      </c>
      <c r="C281" s="187"/>
      <c r="D281" s="187"/>
      <c r="E281" s="187"/>
      <c r="F281" s="209">
        <f t="shared" si="19"/>
        <v>0</v>
      </c>
      <c r="G281" s="209">
        <f t="shared" si="20"/>
        <v>0</v>
      </c>
      <c r="H281" s="209">
        <f t="shared" si="21"/>
        <v>0</v>
      </c>
      <c r="I281" s="186"/>
    </row>
    <row r="282" spans="1:9" s="198" customFormat="1" ht="12.75" hidden="1">
      <c r="A282" s="184" t="s">
        <v>376</v>
      </c>
      <c r="B282" s="185"/>
      <c r="C282" s="187"/>
      <c r="D282" s="187"/>
      <c r="E282" s="187"/>
      <c r="F282" s="209"/>
      <c r="G282" s="209"/>
      <c r="H282" s="209"/>
      <c r="I282" s="186"/>
    </row>
    <row r="283" spans="1:9" s="198" customFormat="1" ht="12.75" hidden="1">
      <c r="A283" s="185" t="s">
        <v>377</v>
      </c>
      <c r="B283" s="185" t="s">
        <v>378</v>
      </c>
      <c r="C283" s="187"/>
      <c r="D283" s="187"/>
      <c r="E283" s="209">
        <f>2.5*B351*4</f>
        <v>0</v>
      </c>
      <c r="F283" s="209">
        <f>D283*C283</f>
        <v>0</v>
      </c>
      <c r="G283" s="209">
        <f>C283*E283</f>
        <v>0</v>
      </c>
      <c r="H283" s="209">
        <f>F283+G283</f>
        <v>0</v>
      </c>
      <c r="I283" s="186"/>
    </row>
    <row r="284" spans="1:9" s="198" customFormat="1" ht="12.75" hidden="1">
      <c r="A284" s="185" t="s">
        <v>379</v>
      </c>
      <c r="B284" s="185" t="s">
        <v>380</v>
      </c>
      <c r="C284" s="187"/>
      <c r="D284" s="187"/>
      <c r="E284" s="187"/>
      <c r="F284" s="209">
        <f>D284*C284</f>
        <v>0</v>
      </c>
      <c r="G284" s="209">
        <f>C284*E284</f>
        <v>0</v>
      </c>
      <c r="H284" s="209">
        <f>F284+G284</f>
        <v>0</v>
      </c>
      <c r="I284" s="186"/>
    </row>
    <row r="285" spans="1:9" s="198" customFormat="1" ht="12.75" hidden="1">
      <c r="A285" s="185" t="s">
        <v>381</v>
      </c>
      <c r="B285" s="185" t="s">
        <v>380</v>
      </c>
      <c r="C285" s="187"/>
      <c r="D285" s="187"/>
      <c r="E285" s="187"/>
      <c r="F285" s="209">
        <f>D285*C285</f>
        <v>0</v>
      </c>
      <c r="G285" s="209">
        <f>C285*E285</f>
        <v>0</v>
      </c>
      <c r="H285" s="209">
        <f>F285+G285</f>
        <v>0</v>
      </c>
      <c r="I285" s="186"/>
    </row>
    <row r="286" spans="1:9" s="198" customFormat="1" ht="12.75" hidden="1">
      <c r="A286" s="184" t="s">
        <v>382</v>
      </c>
      <c r="B286" s="185"/>
      <c r="C286" s="187"/>
      <c r="D286" s="187"/>
      <c r="E286" s="187"/>
      <c r="F286" s="209"/>
      <c r="G286" s="209"/>
      <c r="H286" s="209"/>
      <c r="I286" s="186"/>
    </row>
    <row r="287" spans="1:9" s="198" customFormat="1" ht="12.75" hidden="1">
      <c r="A287" s="185" t="s">
        <v>435</v>
      </c>
      <c r="B287" s="185" t="s">
        <v>383</v>
      </c>
      <c r="C287" s="187"/>
      <c r="D287" s="187"/>
      <c r="E287" s="187"/>
      <c r="F287" s="209">
        <f aca="true" t="shared" si="22" ref="F287:F302">D287*C287</f>
        <v>0</v>
      </c>
      <c r="G287" s="209">
        <v>22114.95</v>
      </c>
      <c r="H287" s="209">
        <f aca="true" t="shared" si="23" ref="H287:H302">F287+G287</f>
        <v>22114.95</v>
      </c>
      <c r="I287" s="186"/>
    </row>
    <row r="288" spans="1:9" s="198" customFormat="1" ht="12.75" hidden="1">
      <c r="A288" s="185" t="s">
        <v>433</v>
      </c>
      <c r="B288" s="185" t="s">
        <v>368</v>
      </c>
      <c r="C288" s="187"/>
      <c r="D288" s="187"/>
      <c r="E288" s="187"/>
      <c r="F288" s="209">
        <f t="shared" si="22"/>
        <v>0</v>
      </c>
      <c r="G288" s="209">
        <f aca="true" t="shared" si="24" ref="G288:G302">C288*E288</f>
        <v>0</v>
      </c>
      <c r="H288" s="209">
        <f t="shared" si="23"/>
        <v>0</v>
      </c>
      <c r="I288" s="186"/>
    </row>
    <row r="289" spans="1:9" s="198" customFormat="1" ht="12.75" hidden="1">
      <c r="A289" s="185" t="s">
        <v>384</v>
      </c>
      <c r="B289" s="185" t="s">
        <v>368</v>
      </c>
      <c r="C289" s="187"/>
      <c r="D289" s="187"/>
      <c r="E289" s="187"/>
      <c r="F289" s="209">
        <f t="shared" si="22"/>
        <v>0</v>
      </c>
      <c r="G289" s="209">
        <f t="shared" si="24"/>
        <v>0</v>
      </c>
      <c r="H289" s="209">
        <f t="shared" si="23"/>
        <v>0</v>
      </c>
      <c r="I289" s="186"/>
    </row>
    <row r="290" spans="1:9" s="198" customFormat="1" ht="12.75" hidden="1">
      <c r="A290" s="185" t="s">
        <v>385</v>
      </c>
      <c r="B290" s="185" t="s">
        <v>383</v>
      </c>
      <c r="C290" s="187"/>
      <c r="D290" s="187"/>
      <c r="E290" s="209">
        <f>20*B351</f>
        <v>0</v>
      </c>
      <c r="F290" s="209">
        <f t="shared" si="22"/>
        <v>0</v>
      </c>
      <c r="G290" s="209">
        <v>50000</v>
      </c>
      <c r="H290" s="209">
        <f t="shared" si="23"/>
        <v>50000</v>
      </c>
      <c r="I290" s="186"/>
    </row>
    <row r="291" spans="1:9" s="198" customFormat="1" ht="12.75" hidden="1">
      <c r="A291" s="185" t="s">
        <v>386</v>
      </c>
      <c r="B291" s="185" t="s">
        <v>383</v>
      </c>
      <c r="C291" s="187"/>
      <c r="D291" s="187"/>
      <c r="E291" s="209">
        <f>E290</f>
        <v>0</v>
      </c>
      <c r="F291" s="209">
        <f t="shared" si="22"/>
        <v>0</v>
      </c>
      <c r="G291" s="209">
        <f>G290</f>
        <v>50000</v>
      </c>
      <c r="H291" s="209">
        <f t="shared" si="23"/>
        <v>50000</v>
      </c>
      <c r="I291" s="186"/>
    </row>
    <row r="292" spans="1:9" s="198" customFormat="1" ht="25.5" hidden="1">
      <c r="A292" s="185" t="s">
        <v>387</v>
      </c>
      <c r="B292" s="185" t="s">
        <v>383</v>
      </c>
      <c r="C292" s="187"/>
      <c r="D292" s="187"/>
      <c r="E292" s="187"/>
      <c r="F292" s="209">
        <f t="shared" si="22"/>
        <v>0</v>
      </c>
      <c r="G292" s="209"/>
      <c r="H292" s="209">
        <f t="shared" si="23"/>
        <v>0</v>
      </c>
      <c r="I292" s="186"/>
    </row>
    <row r="293" spans="1:9" s="198" customFormat="1" ht="12.75" hidden="1">
      <c r="A293" s="185" t="s">
        <v>388</v>
      </c>
      <c r="B293" s="185" t="s">
        <v>389</v>
      </c>
      <c r="C293" s="187"/>
      <c r="D293" s="187"/>
      <c r="E293" s="187"/>
      <c r="F293" s="209">
        <f t="shared" si="22"/>
        <v>0</v>
      </c>
      <c r="G293" s="209">
        <f t="shared" si="24"/>
        <v>0</v>
      </c>
      <c r="H293" s="209">
        <f t="shared" si="23"/>
        <v>0</v>
      </c>
      <c r="I293" s="186"/>
    </row>
    <row r="294" spans="1:9" s="198" customFormat="1" ht="12.75" hidden="1">
      <c r="A294" s="185" t="s">
        <v>390</v>
      </c>
      <c r="B294" s="185" t="s">
        <v>383</v>
      </c>
      <c r="C294" s="187"/>
      <c r="D294" s="187"/>
      <c r="E294" s="187"/>
      <c r="F294" s="209">
        <f t="shared" si="22"/>
        <v>0</v>
      </c>
      <c r="G294" s="209">
        <v>20000</v>
      </c>
      <c r="H294" s="209">
        <f t="shared" si="23"/>
        <v>20000</v>
      </c>
      <c r="I294" s="186"/>
    </row>
    <row r="295" spans="1:9" s="198" customFormat="1" ht="12.75" hidden="1">
      <c r="A295" s="185" t="s">
        <v>391</v>
      </c>
      <c r="B295" s="185" t="s">
        <v>383</v>
      </c>
      <c r="C295" s="187"/>
      <c r="D295" s="187"/>
      <c r="E295" s="187"/>
      <c r="F295" s="209">
        <f t="shared" si="22"/>
        <v>0</v>
      </c>
      <c r="G295" s="209">
        <f t="shared" si="24"/>
        <v>0</v>
      </c>
      <c r="H295" s="209">
        <f t="shared" si="23"/>
        <v>0</v>
      </c>
      <c r="I295" s="186"/>
    </row>
    <row r="296" spans="1:9" s="198" customFormat="1" ht="25.5" hidden="1">
      <c r="A296" s="185" t="s">
        <v>392</v>
      </c>
      <c r="B296" s="185" t="s">
        <v>389</v>
      </c>
      <c r="C296" s="187"/>
      <c r="D296" s="187"/>
      <c r="E296" s="187"/>
      <c r="F296" s="209">
        <f t="shared" si="22"/>
        <v>0</v>
      </c>
      <c r="G296" s="209">
        <f t="shared" si="24"/>
        <v>0</v>
      </c>
      <c r="H296" s="209">
        <f t="shared" si="23"/>
        <v>0</v>
      </c>
      <c r="I296" s="186"/>
    </row>
    <row r="297" spans="1:9" s="198" customFormat="1" ht="25.5" hidden="1">
      <c r="A297" s="185" t="s">
        <v>393</v>
      </c>
      <c r="B297" s="185" t="s">
        <v>389</v>
      </c>
      <c r="C297" s="187"/>
      <c r="D297" s="187"/>
      <c r="E297" s="187"/>
      <c r="F297" s="209">
        <f t="shared" si="22"/>
        <v>0</v>
      </c>
      <c r="G297" s="209">
        <f t="shared" si="24"/>
        <v>0</v>
      </c>
      <c r="H297" s="209">
        <f t="shared" si="23"/>
        <v>0</v>
      </c>
      <c r="I297" s="186"/>
    </row>
    <row r="298" spans="1:9" s="198" customFormat="1" ht="12.75" hidden="1">
      <c r="A298" s="185" t="s">
        <v>394</v>
      </c>
      <c r="B298" s="185" t="s">
        <v>395</v>
      </c>
      <c r="C298" s="187"/>
      <c r="D298" s="187"/>
      <c r="E298" s="187"/>
      <c r="F298" s="209">
        <f t="shared" si="22"/>
        <v>0</v>
      </c>
      <c r="G298" s="209">
        <f t="shared" si="24"/>
        <v>0</v>
      </c>
      <c r="H298" s="209">
        <f t="shared" si="23"/>
        <v>0</v>
      </c>
      <c r="I298" s="186"/>
    </row>
    <row r="299" spans="1:9" s="198" customFormat="1" ht="38.25" hidden="1">
      <c r="A299" s="185" t="s">
        <v>2</v>
      </c>
      <c r="B299" s="185" t="s">
        <v>395</v>
      </c>
      <c r="C299" s="187"/>
      <c r="D299" s="187"/>
      <c r="E299" s="187"/>
      <c r="F299" s="209">
        <f t="shared" si="22"/>
        <v>0</v>
      </c>
      <c r="G299" s="209">
        <f t="shared" si="24"/>
        <v>0</v>
      </c>
      <c r="H299" s="209">
        <f t="shared" si="23"/>
        <v>0</v>
      </c>
      <c r="I299" s="186"/>
    </row>
    <row r="300" spans="1:9" s="198" customFormat="1" ht="38.25" hidden="1">
      <c r="A300" s="185" t="s">
        <v>396</v>
      </c>
      <c r="B300" s="185" t="s">
        <v>370</v>
      </c>
      <c r="C300" s="187"/>
      <c r="D300" s="187"/>
      <c r="E300" s="187"/>
      <c r="F300" s="209">
        <f t="shared" si="22"/>
        <v>0</v>
      </c>
      <c r="G300" s="209">
        <f t="shared" si="24"/>
        <v>0</v>
      </c>
      <c r="H300" s="209">
        <f t="shared" si="23"/>
        <v>0</v>
      </c>
      <c r="I300" s="186"/>
    </row>
    <row r="301" spans="1:9" s="198" customFormat="1" ht="25.5" hidden="1">
      <c r="A301" s="185" t="s">
        <v>431</v>
      </c>
      <c r="B301" s="185" t="s">
        <v>370</v>
      </c>
      <c r="C301" s="187"/>
      <c r="D301" s="187"/>
      <c r="E301" s="187"/>
      <c r="F301" s="209">
        <f>D301*C301</f>
        <v>0</v>
      </c>
      <c r="G301" s="209">
        <f>C301*E301</f>
        <v>0</v>
      </c>
      <c r="H301" s="209">
        <f>F301+G301</f>
        <v>0</v>
      </c>
      <c r="I301" s="186"/>
    </row>
    <row r="302" spans="1:9" s="198" customFormat="1" ht="25.5" hidden="1">
      <c r="A302" s="185" t="s">
        <v>432</v>
      </c>
      <c r="B302" s="185" t="s">
        <v>370</v>
      </c>
      <c r="C302" s="187"/>
      <c r="D302" s="187"/>
      <c r="E302" s="187"/>
      <c r="F302" s="209">
        <f t="shared" si="22"/>
        <v>0</v>
      </c>
      <c r="G302" s="209">
        <f t="shared" si="24"/>
        <v>0</v>
      </c>
      <c r="H302" s="209">
        <f t="shared" si="23"/>
        <v>0</v>
      </c>
      <c r="I302" s="186"/>
    </row>
    <row r="303" spans="1:9" s="198" customFormat="1" ht="12.75" hidden="1">
      <c r="A303" s="185" t="s">
        <v>397</v>
      </c>
      <c r="B303" s="185" t="s">
        <v>398</v>
      </c>
      <c r="C303" s="187"/>
      <c r="D303" s="187">
        <f>3*SUM(E275:E277)+SUM(D278:D279)+3*D280</f>
        <v>0</v>
      </c>
      <c r="E303" s="187"/>
      <c r="F303" s="209">
        <f>D303*C303</f>
        <v>0</v>
      </c>
      <c r="G303" s="209">
        <f>C303*E303</f>
        <v>0</v>
      </c>
      <c r="H303" s="209">
        <f>F303+G303</f>
        <v>0</v>
      </c>
      <c r="I303" s="186"/>
    </row>
    <row r="304" spans="1:9" s="198" customFormat="1" ht="12.75" hidden="1">
      <c r="A304" s="188" t="s">
        <v>399</v>
      </c>
      <c r="B304" s="188"/>
      <c r="C304" s="189"/>
      <c r="D304" s="189"/>
      <c r="E304" s="189"/>
      <c r="F304" s="211">
        <f>SUM(F273:F303)</f>
        <v>0</v>
      </c>
      <c r="G304" s="211">
        <f>SUM(G273:G303)</f>
        <v>142114.95</v>
      </c>
      <c r="H304" s="211">
        <f>SUM(H273:H303)</f>
        <v>142114.95</v>
      </c>
      <c r="I304" s="186"/>
    </row>
    <row r="305" s="198" customFormat="1" ht="12.75" hidden="1"/>
    <row r="306" s="198" customFormat="1" ht="12.75" hidden="1"/>
    <row r="307" s="198" customFormat="1" ht="12.75" hidden="1">
      <c r="A307" s="197" t="s">
        <v>400</v>
      </c>
    </row>
    <row r="308" spans="1:5" s="198" customFormat="1" ht="12.75" hidden="1">
      <c r="A308" s="182" t="s">
        <v>357</v>
      </c>
      <c r="B308" s="182" t="s">
        <v>231</v>
      </c>
      <c r="C308" s="182" t="s">
        <v>362</v>
      </c>
      <c r="D308" s="182" t="s">
        <v>4</v>
      </c>
      <c r="E308" s="183" t="s">
        <v>363</v>
      </c>
    </row>
    <row r="309" spans="1:9" s="198" customFormat="1" ht="12.75" hidden="1">
      <c r="A309" s="212" t="s">
        <v>322</v>
      </c>
      <c r="B309" s="209"/>
      <c r="C309" s="209"/>
      <c r="D309" s="209"/>
      <c r="E309" s="213"/>
      <c r="F309" s="217"/>
      <c r="G309" s="217"/>
      <c r="H309" s="217"/>
      <c r="I309" s="217"/>
    </row>
    <row r="310" spans="1:5" s="198" customFormat="1" ht="12.75" hidden="1">
      <c r="A310" s="185" t="s">
        <v>331</v>
      </c>
      <c r="B310" s="187">
        <f>'DP1'!G128</f>
        <v>0</v>
      </c>
      <c r="C310" s="187">
        <f>'DP1'!H128</f>
        <v>0</v>
      </c>
      <c r="D310" s="187">
        <f>B310+C310</f>
        <v>0</v>
      </c>
      <c r="E310" s="213"/>
    </row>
    <row r="311" spans="1:5" s="198" customFormat="1" ht="12.75" hidden="1">
      <c r="A311" s="212" t="s">
        <v>332</v>
      </c>
      <c r="B311" s="209"/>
      <c r="C311" s="209"/>
      <c r="D311" s="209"/>
      <c r="E311" s="213"/>
    </row>
    <row r="312" spans="1:5" s="198" customFormat="1" ht="12.75" hidden="1">
      <c r="A312" s="212" t="s">
        <v>333</v>
      </c>
      <c r="B312" s="209"/>
      <c r="C312" s="209"/>
      <c r="D312" s="209"/>
      <c r="E312" s="213"/>
    </row>
    <row r="313" spans="1:5" s="198" customFormat="1" ht="12.75" hidden="1">
      <c r="A313" s="212" t="s">
        <v>325</v>
      </c>
      <c r="B313" s="209"/>
      <c r="C313" s="209"/>
      <c r="D313" s="209"/>
      <c r="E313" s="213"/>
    </row>
    <row r="314" spans="1:5" s="198" customFormat="1" ht="12.75" hidden="1">
      <c r="A314" s="212" t="s">
        <v>321</v>
      </c>
      <c r="B314" s="209"/>
      <c r="C314" s="209"/>
      <c r="D314" s="209"/>
      <c r="E314" s="209"/>
    </row>
    <row r="315" spans="1:5" s="198" customFormat="1" ht="12.75" hidden="1">
      <c r="A315" s="214" t="s">
        <v>399</v>
      </c>
      <c r="B315" s="211">
        <f>SUM(B309:B314)</f>
        <v>0</v>
      </c>
      <c r="C315" s="211">
        <f>SUM(C309:C314)</f>
        <v>0</v>
      </c>
      <c r="D315" s="211">
        <f>SUM(D309:D314)</f>
        <v>0</v>
      </c>
      <c r="E315" s="213"/>
    </row>
    <row r="316" spans="1:5" s="198" customFormat="1" ht="12.75" hidden="1">
      <c r="A316" s="190"/>
      <c r="B316" s="191"/>
      <c r="C316" s="191"/>
      <c r="D316" s="191"/>
      <c r="E316" s="199"/>
    </row>
    <row r="317" s="198" customFormat="1" ht="12.75" hidden="1"/>
    <row r="318" spans="1:2" s="198" customFormat="1" ht="12.75" hidden="1">
      <c r="A318" s="197" t="s">
        <v>401</v>
      </c>
      <c r="B318" s="197"/>
    </row>
    <row r="319" spans="1:9" s="198" customFormat="1" ht="12.75" hidden="1">
      <c r="A319" s="182" t="s">
        <v>402</v>
      </c>
      <c r="B319" s="182" t="s">
        <v>358</v>
      </c>
      <c r="C319" s="182" t="s">
        <v>359</v>
      </c>
      <c r="D319" s="182" t="s">
        <v>360</v>
      </c>
      <c r="E319" s="182" t="s">
        <v>361</v>
      </c>
      <c r="F319" s="182" t="s">
        <v>231</v>
      </c>
      <c r="G319" s="182" t="s">
        <v>362</v>
      </c>
      <c r="H319" s="182" t="s">
        <v>4</v>
      </c>
      <c r="I319" s="183" t="s">
        <v>363</v>
      </c>
    </row>
    <row r="320" spans="1:9" s="198" customFormat="1" ht="12.75" hidden="1">
      <c r="A320" s="185" t="s">
        <v>403</v>
      </c>
      <c r="B320" s="185" t="s">
        <v>383</v>
      </c>
      <c r="C320" s="187"/>
      <c r="D320" s="187"/>
      <c r="E320" s="187"/>
      <c r="F320" s="187"/>
      <c r="G320" s="187"/>
      <c r="H320" s="187"/>
      <c r="I320" s="186"/>
    </row>
    <row r="321" spans="1:9" s="198" customFormat="1" ht="12.75" hidden="1">
      <c r="A321" s="185" t="s">
        <v>433</v>
      </c>
      <c r="B321" s="185" t="s">
        <v>368</v>
      </c>
      <c r="C321" s="187"/>
      <c r="D321" s="187"/>
      <c r="E321" s="187"/>
      <c r="F321" s="187"/>
      <c r="G321" s="187"/>
      <c r="H321" s="187"/>
      <c r="I321" s="186"/>
    </row>
    <row r="322" spans="1:9" s="198" customFormat="1" ht="25.5" hidden="1">
      <c r="A322" s="185" t="s">
        <v>387</v>
      </c>
      <c r="B322" s="185" t="s">
        <v>383</v>
      </c>
      <c r="C322" s="187"/>
      <c r="D322" s="187"/>
      <c r="E322" s="187"/>
      <c r="F322" s="187"/>
      <c r="G322" s="187"/>
      <c r="H322" s="187"/>
      <c r="I322" s="186"/>
    </row>
    <row r="323" spans="1:9" s="198" customFormat="1" ht="12.75" hidden="1">
      <c r="A323" s="185" t="s">
        <v>434</v>
      </c>
      <c r="B323" s="185" t="s">
        <v>383</v>
      </c>
      <c r="C323" s="187"/>
      <c r="D323" s="187"/>
      <c r="E323" s="187"/>
      <c r="F323" s="187"/>
      <c r="G323" s="187"/>
      <c r="H323" s="187"/>
      <c r="I323" s="186"/>
    </row>
    <row r="324" spans="1:9" s="198" customFormat="1" ht="12.75" hidden="1">
      <c r="A324" s="185" t="s">
        <v>391</v>
      </c>
      <c r="B324" s="185" t="s">
        <v>383</v>
      </c>
      <c r="C324" s="187"/>
      <c r="D324" s="187"/>
      <c r="E324" s="187"/>
      <c r="F324" s="187"/>
      <c r="G324" s="187"/>
      <c r="H324" s="187"/>
      <c r="I324" s="186"/>
    </row>
    <row r="325" spans="1:9" s="198" customFormat="1" ht="12.75" hidden="1">
      <c r="A325" s="188" t="s">
        <v>399</v>
      </c>
      <c r="B325" s="188"/>
      <c r="C325" s="189"/>
      <c r="D325" s="189"/>
      <c r="E325" s="189"/>
      <c r="F325" s="189">
        <f>SUM(F320:F324)</f>
        <v>0</v>
      </c>
      <c r="G325" s="189">
        <f>SUM(G320:G324)</f>
        <v>0</v>
      </c>
      <c r="H325" s="189">
        <f>SUM(H320:H324)</f>
        <v>0</v>
      </c>
      <c r="I325" s="186"/>
    </row>
    <row r="326" spans="1:9" s="198" customFormat="1" ht="12.75" hidden="1">
      <c r="A326" s="190"/>
      <c r="B326" s="190"/>
      <c r="C326" s="191"/>
      <c r="D326" s="191"/>
      <c r="E326" s="191"/>
      <c r="F326" s="191"/>
      <c r="G326" s="191"/>
      <c r="H326" s="191"/>
      <c r="I326" s="199"/>
    </row>
    <row r="327" spans="1:9" s="198" customFormat="1" ht="12.75" hidden="1">
      <c r="A327" s="190"/>
      <c r="B327" s="190"/>
      <c r="C327" s="191"/>
      <c r="D327" s="191"/>
      <c r="E327" s="191"/>
      <c r="F327" s="191"/>
      <c r="G327" s="191"/>
      <c r="H327" s="191"/>
      <c r="I327" s="199"/>
    </row>
    <row r="328" s="198" customFormat="1" ht="12.75" hidden="1">
      <c r="A328" s="197" t="s">
        <v>404</v>
      </c>
    </row>
    <row r="329" spans="1:5" s="198" customFormat="1" ht="12.75" hidden="1">
      <c r="A329" s="182" t="s">
        <v>357</v>
      </c>
      <c r="B329" s="182" t="s">
        <v>231</v>
      </c>
      <c r="C329" s="182" t="s">
        <v>362</v>
      </c>
      <c r="D329" s="182" t="s">
        <v>4</v>
      </c>
      <c r="E329" s="183" t="s">
        <v>363</v>
      </c>
    </row>
    <row r="330" spans="1:5" s="198" customFormat="1" ht="12.75" hidden="1">
      <c r="A330" s="185" t="s">
        <v>322</v>
      </c>
      <c r="B330" s="187"/>
      <c r="C330" s="187"/>
      <c r="D330" s="187"/>
      <c r="E330" s="186"/>
    </row>
    <row r="331" spans="1:5" s="198" customFormat="1" ht="12.75" hidden="1">
      <c r="A331" s="185" t="s">
        <v>331</v>
      </c>
      <c r="B331" s="187">
        <f>F304+B310</f>
        <v>0</v>
      </c>
      <c r="C331" s="187">
        <f>G304+C310</f>
        <v>142114.95</v>
      </c>
      <c r="D331" s="187">
        <f>B331+C331</f>
        <v>142114.95</v>
      </c>
      <c r="E331" s="186"/>
    </row>
    <row r="332" spans="1:5" s="198" customFormat="1" ht="12.75" hidden="1">
      <c r="A332" s="185" t="s">
        <v>332</v>
      </c>
      <c r="B332" s="187"/>
      <c r="C332" s="187"/>
      <c r="D332" s="187"/>
      <c r="E332" s="186"/>
    </row>
    <row r="333" spans="1:5" s="198" customFormat="1" ht="12.75" hidden="1">
      <c r="A333" s="185" t="s">
        <v>333</v>
      </c>
      <c r="B333" s="187"/>
      <c r="C333" s="187"/>
      <c r="D333" s="187"/>
      <c r="E333" s="186"/>
    </row>
    <row r="334" spans="1:5" s="198" customFormat="1" ht="12.75" hidden="1">
      <c r="A334" s="185" t="s">
        <v>325</v>
      </c>
      <c r="B334" s="187"/>
      <c r="C334" s="187"/>
      <c r="D334" s="187"/>
      <c r="E334" s="186"/>
    </row>
    <row r="335" spans="1:5" s="198" customFormat="1" ht="12.75" hidden="1">
      <c r="A335" s="185" t="s">
        <v>321</v>
      </c>
      <c r="B335" s="187"/>
      <c r="C335" s="187"/>
      <c r="D335" s="187"/>
      <c r="E335" s="186"/>
    </row>
    <row r="336" spans="1:5" s="198" customFormat="1" ht="12.75" hidden="1">
      <c r="A336" s="188" t="s">
        <v>399</v>
      </c>
      <c r="B336" s="189">
        <f>SUM(B330:B335)</f>
        <v>0</v>
      </c>
      <c r="C336" s="189">
        <f>SUM(C330:C335)</f>
        <v>142114.95</v>
      </c>
      <c r="D336" s="189">
        <f>SUM(D330:D335)</f>
        <v>142114.95</v>
      </c>
      <c r="E336" s="186"/>
    </row>
    <row r="337" spans="1:9" s="198" customFormat="1" ht="12.75" hidden="1">
      <c r="A337" s="190"/>
      <c r="B337" s="190"/>
      <c r="C337" s="191"/>
      <c r="D337" s="191"/>
      <c r="E337" s="191"/>
      <c r="F337" s="191"/>
      <c r="G337" s="191"/>
      <c r="H337" s="191"/>
      <c r="I337" s="199"/>
    </row>
    <row r="338" s="198" customFormat="1" ht="12.75" hidden="1"/>
    <row r="339" s="198" customFormat="1" ht="12.75" hidden="1"/>
    <row r="340" s="198" customFormat="1" ht="12.75" hidden="1"/>
    <row r="341" s="198" customFormat="1" ht="12.75" hidden="1"/>
    <row r="342" s="198" customFormat="1" ht="12.75" hidden="1"/>
    <row r="343" s="198" customFormat="1" ht="12.75" hidden="1"/>
    <row r="344" s="198" customFormat="1" ht="12.75" hidden="1"/>
    <row r="345" s="198" customFormat="1" ht="12.75" hidden="1"/>
    <row r="346" spans="1:2" s="198" customFormat="1" ht="24.75" hidden="1">
      <c r="A346" s="192" t="s">
        <v>357</v>
      </c>
      <c r="B346" s="183" t="s">
        <v>405</v>
      </c>
    </row>
    <row r="347" spans="1:2" s="198" customFormat="1" ht="12.75" hidden="1">
      <c r="A347" s="193" t="s">
        <v>365</v>
      </c>
      <c r="B347" s="194"/>
    </row>
    <row r="348" spans="1:2" s="198" customFormat="1" ht="12.75" hidden="1">
      <c r="A348" s="185" t="s">
        <v>406</v>
      </c>
      <c r="B348" s="194">
        <v>0</v>
      </c>
    </row>
    <row r="349" spans="1:2" s="198" customFormat="1" ht="12.75" hidden="1">
      <c r="A349" s="185" t="s">
        <v>407</v>
      </c>
      <c r="B349" s="194">
        <v>0</v>
      </c>
    </row>
    <row r="350" spans="1:2" s="198" customFormat="1" ht="12.75" hidden="1">
      <c r="A350" s="185" t="s">
        <v>408</v>
      </c>
      <c r="B350" s="194">
        <v>0</v>
      </c>
    </row>
    <row r="351" spans="1:2" s="198" customFormat="1" ht="12.75" hidden="1">
      <c r="A351" s="185" t="s">
        <v>409</v>
      </c>
      <c r="B351" s="194">
        <v>0</v>
      </c>
    </row>
    <row r="352" spans="1:2" s="198" customFormat="1" ht="12.75" hidden="1">
      <c r="A352" s="195" t="s">
        <v>410</v>
      </c>
      <c r="B352" s="194">
        <f>B348*B349*B351</f>
        <v>0</v>
      </c>
    </row>
    <row r="353" spans="1:2" s="198" customFormat="1" ht="12.75" hidden="1">
      <c r="A353" s="195" t="s">
        <v>411</v>
      </c>
      <c r="B353" s="194">
        <f>B348*B349*B350</f>
        <v>0</v>
      </c>
    </row>
    <row r="354" spans="1:2" s="198" customFormat="1" ht="12.75" hidden="1">
      <c r="A354" s="193" t="s">
        <v>412</v>
      </c>
      <c r="B354" s="196"/>
    </row>
    <row r="355" spans="1:2" s="198" customFormat="1" ht="12.75" hidden="1">
      <c r="A355" s="185" t="s">
        <v>413</v>
      </c>
      <c r="B355" s="194">
        <v>0</v>
      </c>
    </row>
    <row r="356" spans="1:2" s="198" customFormat="1" ht="12.75" hidden="1">
      <c r="A356" s="185" t="s">
        <v>369</v>
      </c>
      <c r="B356" s="194"/>
    </row>
    <row r="357" spans="1:2" s="198" customFormat="1" ht="25.5" hidden="1">
      <c r="A357" s="185" t="s">
        <v>371</v>
      </c>
      <c r="B357" s="194"/>
    </row>
    <row r="358" spans="1:2" s="198" customFormat="1" ht="12.75" hidden="1">
      <c r="A358" s="195" t="s">
        <v>414</v>
      </c>
      <c r="B358" s="194">
        <f>SUM(B355:B357)</f>
        <v>0</v>
      </c>
    </row>
    <row r="359" spans="1:2" s="198" customFormat="1" ht="12.75" hidden="1">
      <c r="A359" s="193" t="s">
        <v>415</v>
      </c>
      <c r="B359" s="194"/>
    </row>
    <row r="360" spans="1:2" s="198" customFormat="1" ht="12.75" hidden="1">
      <c r="A360" s="185" t="s">
        <v>372</v>
      </c>
      <c r="B360" s="194"/>
    </row>
    <row r="361" spans="1:2" s="198" customFormat="1" ht="25.5" hidden="1">
      <c r="A361" s="185" t="s">
        <v>373</v>
      </c>
      <c r="B361" s="194"/>
    </row>
    <row r="362" spans="1:2" s="198" customFormat="1" ht="12.75" hidden="1">
      <c r="A362" s="185" t="s">
        <v>374</v>
      </c>
      <c r="B362" s="194"/>
    </row>
    <row r="363" spans="1:2" s="198" customFormat="1" ht="12.75" hidden="1">
      <c r="A363" s="195" t="s">
        <v>416</v>
      </c>
      <c r="B363" s="194">
        <f>SUM(B360:B362)</f>
        <v>0</v>
      </c>
    </row>
    <row r="364" spans="1:2" s="198" customFormat="1" ht="12.75" hidden="1">
      <c r="A364" s="193" t="s">
        <v>417</v>
      </c>
      <c r="B364" s="200">
        <f>B352+B358</f>
        <v>0</v>
      </c>
    </row>
    <row r="365" spans="1:2" s="198" customFormat="1" ht="12.75" hidden="1">
      <c r="A365" s="193" t="s">
        <v>418</v>
      </c>
      <c r="B365" s="200">
        <f>B353+B363</f>
        <v>0</v>
      </c>
    </row>
    <row r="366" spans="1:2" s="198" customFormat="1" ht="12.75" hidden="1">
      <c r="A366" s="188" t="s">
        <v>399</v>
      </c>
      <c r="B366" s="200">
        <f>B364+B365</f>
        <v>0</v>
      </c>
    </row>
    <row r="367" s="198" customFormat="1" ht="12.75" hidden="1"/>
    <row r="368" s="198" customFormat="1" ht="12.75" hidden="1"/>
    <row r="369" spans="1:6" s="198" customFormat="1" ht="12.75" hidden="1">
      <c r="A369" s="204"/>
      <c r="B369" s="204" t="s">
        <v>429</v>
      </c>
      <c r="C369" s="204" t="s">
        <v>430</v>
      </c>
      <c r="D369" s="204"/>
      <c r="E369" s="201"/>
      <c r="F369" s="201"/>
    </row>
    <row r="370" spans="1:6" s="198" customFormat="1" ht="12.75" hidden="1">
      <c r="A370" s="205" t="s">
        <v>109</v>
      </c>
      <c r="B370" s="204"/>
      <c r="C370" s="204"/>
      <c r="D370" s="204"/>
      <c r="E370" s="201"/>
      <c r="F370" s="201"/>
    </row>
    <row r="371" spans="1:4" s="198" customFormat="1" ht="12.75" hidden="1">
      <c r="A371" s="206" t="s">
        <v>385</v>
      </c>
      <c r="B371" s="208">
        <f>F290</f>
        <v>0</v>
      </c>
      <c r="C371" s="208">
        <f>G290</f>
        <v>50000</v>
      </c>
      <c r="D371" s="204"/>
    </row>
    <row r="372" spans="1:4" s="198" customFormat="1" ht="12.75" hidden="1">
      <c r="A372" s="206" t="s">
        <v>386</v>
      </c>
      <c r="B372" s="208">
        <f>F291</f>
        <v>0</v>
      </c>
      <c r="C372" s="208">
        <f>G291</f>
        <v>50000</v>
      </c>
      <c r="D372" s="204"/>
    </row>
    <row r="373" spans="1:4" s="198" customFormat="1" ht="12.75" hidden="1">
      <c r="A373" s="207" t="s">
        <v>108</v>
      </c>
      <c r="B373" s="204"/>
      <c r="C373" s="204"/>
      <c r="D373" s="204"/>
    </row>
    <row r="374" spans="1:4" s="198" customFormat="1" ht="12.75" hidden="1">
      <c r="A374" s="206" t="s">
        <v>442</v>
      </c>
      <c r="B374" s="208">
        <f>F296</f>
        <v>0</v>
      </c>
      <c r="C374" s="208">
        <f>G296</f>
        <v>0</v>
      </c>
      <c r="D374" s="204"/>
    </row>
    <row r="375" spans="1:4" s="198" customFormat="1" ht="12.75" hidden="1">
      <c r="A375" s="206" t="s">
        <v>443</v>
      </c>
      <c r="B375" s="208">
        <f>F301</f>
        <v>0</v>
      </c>
      <c r="C375" s="208">
        <f>G301</f>
        <v>0</v>
      </c>
      <c r="D375" s="204"/>
    </row>
    <row r="376" spans="1:4" s="198" customFormat="1" ht="12.75" hidden="1">
      <c r="A376" s="206" t="s">
        <v>444</v>
      </c>
      <c r="B376" s="208">
        <f>F302</f>
        <v>0</v>
      </c>
      <c r="C376" s="208">
        <f>G302</f>
        <v>0</v>
      </c>
      <c r="D376" s="204"/>
    </row>
    <row r="377" spans="1:4" s="198" customFormat="1" ht="12.75" hidden="1">
      <c r="A377" s="206" t="s">
        <v>445</v>
      </c>
      <c r="B377" s="208">
        <f>F300</f>
        <v>0</v>
      </c>
      <c r="C377" s="208">
        <f>G300</f>
        <v>0</v>
      </c>
      <c r="D377" s="204"/>
    </row>
    <row r="378" spans="1:4" s="198" customFormat="1" ht="12.75" hidden="1">
      <c r="A378" s="206" t="s">
        <v>446</v>
      </c>
      <c r="B378" s="208">
        <f>B315</f>
        <v>0</v>
      </c>
      <c r="C378" s="208">
        <f>C315</f>
        <v>0</v>
      </c>
      <c r="D378" s="204"/>
    </row>
    <row r="379" spans="1:4" s="198" customFormat="1" ht="12.75" hidden="1">
      <c r="A379" s="207" t="s">
        <v>95</v>
      </c>
      <c r="B379" s="204"/>
      <c r="C379" s="204"/>
      <c r="D379" s="204"/>
    </row>
    <row r="380" spans="1:4" s="198" customFormat="1" ht="25.5" hidden="1">
      <c r="A380" s="206" t="s">
        <v>387</v>
      </c>
      <c r="B380" s="208">
        <f>F292+F322</f>
        <v>0</v>
      </c>
      <c r="C380" s="208">
        <f>G292+G322</f>
        <v>0</v>
      </c>
      <c r="D380" s="204"/>
    </row>
    <row r="381" spans="1:4" s="198" customFormat="1" ht="12.75" hidden="1">
      <c r="A381" s="207" t="s">
        <v>91</v>
      </c>
      <c r="B381" s="204"/>
      <c r="C381" s="204"/>
      <c r="D381" s="204"/>
    </row>
    <row r="382" spans="1:4" s="198" customFormat="1" ht="12.75" hidden="1">
      <c r="A382" s="206" t="s">
        <v>427</v>
      </c>
      <c r="B382" s="208">
        <v>20000</v>
      </c>
      <c r="C382" s="208">
        <f>SUM(G283:G285)</f>
        <v>0</v>
      </c>
      <c r="D382" s="204"/>
    </row>
    <row r="383" spans="1:4" s="198" customFormat="1" ht="12.75" hidden="1">
      <c r="A383" s="207" t="s">
        <v>105</v>
      </c>
      <c r="D383" s="204"/>
    </row>
    <row r="384" spans="1:4" s="198" customFormat="1" ht="38.25" hidden="1">
      <c r="A384" s="206" t="s">
        <v>205</v>
      </c>
      <c r="B384" s="208">
        <v>10000</v>
      </c>
      <c r="C384" s="208">
        <f>G297</f>
        <v>0</v>
      </c>
      <c r="D384" s="204"/>
    </row>
    <row r="385" spans="1:4" s="198" customFormat="1" ht="12.75" hidden="1">
      <c r="A385" s="206" t="s">
        <v>397</v>
      </c>
      <c r="B385" s="208">
        <v>5000</v>
      </c>
      <c r="C385" s="208">
        <f>G303</f>
        <v>0</v>
      </c>
      <c r="D385" s="204"/>
    </row>
    <row r="386" spans="1:4" s="198" customFormat="1" ht="12.75" hidden="1">
      <c r="A386" s="207" t="s">
        <v>94</v>
      </c>
      <c r="B386" s="204"/>
      <c r="C386" s="204"/>
      <c r="D386" s="204"/>
    </row>
    <row r="387" spans="1:4" s="198" customFormat="1" ht="12.75" hidden="1">
      <c r="A387" s="206" t="s">
        <v>375</v>
      </c>
      <c r="B387" s="208">
        <v>5000</v>
      </c>
      <c r="C387" s="208">
        <f>G281</f>
        <v>0</v>
      </c>
      <c r="D387" s="204"/>
    </row>
    <row r="388" spans="1:4" s="198" customFormat="1" ht="12.75" hidden="1">
      <c r="A388" s="206" t="s">
        <v>453</v>
      </c>
      <c r="B388" s="208">
        <v>5000</v>
      </c>
      <c r="C388" s="208">
        <f>G298</f>
        <v>0</v>
      </c>
      <c r="D388" s="204"/>
    </row>
    <row r="389" spans="1:4" s="198" customFormat="1" ht="12.75" hidden="1">
      <c r="A389" s="206" t="s">
        <v>454</v>
      </c>
      <c r="B389" s="208">
        <v>7000</v>
      </c>
      <c r="C389" s="208">
        <f>G299</f>
        <v>0</v>
      </c>
      <c r="D389" s="204"/>
    </row>
    <row r="390" spans="1:4" s="198" customFormat="1" ht="12.75" hidden="1">
      <c r="A390" s="206" t="s">
        <v>426</v>
      </c>
      <c r="B390" s="208">
        <v>20000</v>
      </c>
      <c r="C390" s="208">
        <f>SUM(G274:G280)</f>
        <v>0</v>
      </c>
      <c r="D390" s="204"/>
    </row>
    <row r="391" spans="1:4" s="198" customFormat="1" ht="12.75" hidden="1">
      <c r="A391" s="207" t="s">
        <v>103</v>
      </c>
      <c r="B391" s="204"/>
      <c r="C391" s="204"/>
      <c r="D391" s="204"/>
    </row>
    <row r="392" spans="1:4" s="198" customFormat="1" ht="12.75" hidden="1">
      <c r="A392" s="206" t="s">
        <v>58</v>
      </c>
      <c r="B392" s="208">
        <v>2400</v>
      </c>
      <c r="C392" s="208">
        <f>G289</f>
        <v>0</v>
      </c>
      <c r="D392" s="204"/>
    </row>
    <row r="393" spans="1:4" s="198" customFormat="1" ht="12.75" hidden="1">
      <c r="A393" s="207" t="s">
        <v>90</v>
      </c>
      <c r="B393" s="204"/>
      <c r="C393" s="204"/>
      <c r="D393" s="204"/>
    </row>
    <row r="394" spans="1:4" s="198" customFormat="1" ht="12.75" hidden="1">
      <c r="A394" s="206" t="s">
        <v>354</v>
      </c>
      <c r="B394" s="208">
        <f>F288+F321</f>
        <v>0</v>
      </c>
      <c r="C394" s="208">
        <f>G288+G321</f>
        <v>0</v>
      </c>
      <c r="D394" s="204"/>
    </row>
    <row r="395" spans="1:4" s="198" customFormat="1" ht="12.75" hidden="1">
      <c r="A395" s="206" t="s">
        <v>388</v>
      </c>
      <c r="B395" s="208">
        <f>F293</f>
        <v>0</v>
      </c>
      <c r="C395" s="208">
        <f>G293</f>
        <v>0</v>
      </c>
      <c r="D395" s="204"/>
    </row>
    <row r="396" spans="1:4" s="198" customFormat="1" ht="12.75" hidden="1">
      <c r="A396" s="207" t="s">
        <v>122</v>
      </c>
      <c r="B396" s="204"/>
      <c r="C396" s="204"/>
      <c r="D396" s="204"/>
    </row>
    <row r="397" spans="1:4" s="198" customFormat="1" ht="12.75" hidden="1">
      <c r="A397" s="206" t="s">
        <v>390</v>
      </c>
      <c r="B397" s="208"/>
      <c r="C397" s="208">
        <v>19038</v>
      </c>
      <c r="D397" s="204"/>
    </row>
    <row r="398" spans="1:4" s="198" customFormat="1" ht="12.75" hidden="1">
      <c r="A398" s="206" t="s">
        <v>403</v>
      </c>
      <c r="B398" s="208">
        <f>F287+F320</f>
        <v>0</v>
      </c>
      <c r="C398" s="208">
        <f>G287+G328</f>
        <v>22114.95</v>
      </c>
      <c r="D398" s="204"/>
    </row>
    <row r="399" spans="1:4" s="198" customFormat="1" ht="12.75" hidden="1">
      <c r="A399" s="207" t="s">
        <v>124</v>
      </c>
      <c r="B399" s="204"/>
      <c r="C399" s="204"/>
      <c r="D399" s="204"/>
    </row>
    <row r="400" spans="1:4" s="198" customFormat="1" ht="12.75" hidden="1">
      <c r="A400" s="206" t="s">
        <v>391</v>
      </c>
      <c r="B400" s="208">
        <v>12000</v>
      </c>
      <c r="C400" s="208">
        <f>G295+G324</f>
        <v>0</v>
      </c>
      <c r="D400" s="204"/>
    </row>
    <row r="401" spans="1:4" s="198" customFormat="1" ht="12.75" hidden="1">
      <c r="A401" s="206"/>
      <c r="B401" s="208">
        <f>SUM(B370:B400)</f>
        <v>86400</v>
      </c>
      <c r="C401" s="208">
        <f>SUM(C370:C400)</f>
        <v>141152.95</v>
      </c>
      <c r="D401" s="204"/>
    </row>
    <row r="402" spans="1:3" s="198" customFormat="1" ht="12.75" hidden="1">
      <c r="A402" s="202"/>
      <c r="B402" s="218"/>
      <c r="C402" s="218"/>
    </row>
    <row r="403" s="198" customFormat="1" ht="12.75">
      <c r="A403" s="216" t="s">
        <v>457</v>
      </c>
    </row>
    <row r="404" spans="1:9" s="198" customFormat="1" ht="12.75" hidden="1">
      <c r="A404" s="182" t="s">
        <v>357</v>
      </c>
      <c r="B404" s="182" t="s">
        <v>358</v>
      </c>
      <c r="C404" s="182" t="s">
        <v>359</v>
      </c>
      <c r="D404" s="182" t="s">
        <v>360</v>
      </c>
      <c r="E404" s="182" t="s">
        <v>361</v>
      </c>
      <c r="F404" s="182" t="s">
        <v>231</v>
      </c>
      <c r="G404" s="182" t="s">
        <v>362</v>
      </c>
      <c r="H404" s="182" t="s">
        <v>4</v>
      </c>
      <c r="I404" s="183" t="s">
        <v>363</v>
      </c>
    </row>
    <row r="405" spans="1:9" s="198" customFormat="1" ht="12.75" hidden="1">
      <c r="A405" s="184" t="s">
        <v>364</v>
      </c>
      <c r="B405" s="185"/>
      <c r="C405" s="186"/>
      <c r="D405" s="186"/>
      <c r="E405" s="186"/>
      <c r="F405" s="186"/>
      <c r="G405" s="186"/>
      <c r="H405" s="186"/>
      <c r="I405" s="186"/>
    </row>
    <row r="406" spans="1:9" s="198" customFormat="1" ht="12.75" hidden="1">
      <c r="A406" s="185" t="s">
        <v>365</v>
      </c>
      <c r="B406" s="185" t="s">
        <v>366</v>
      </c>
      <c r="C406" s="187"/>
      <c r="D406" s="209">
        <f>B485</f>
        <v>0</v>
      </c>
      <c r="E406" s="209">
        <f>B484</f>
        <v>0</v>
      </c>
      <c r="F406" s="209">
        <f aca="true" t="shared" si="25" ref="F406:F413">D406*C406</f>
        <v>0</v>
      </c>
      <c r="G406" s="209">
        <f aca="true" t="shared" si="26" ref="G406:G413">C406*E406</f>
        <v>0</v>
      </c>
      <c r="H406" s="209">
        <f aca="true" t="shared" si="27" ref="H406:H413">F406+G406</f>
        <v>0</v>
      </c>
      <c r="I406" s="186"/>
    </row>
    <row r="407" spans="1:9" s="198" customFormat="1" ht="12.75" hidden="1">
      <c r="A407" s="185" t="s">
        <v>367</v>
      </c>
      <c r="B407" s="185" t="s">
        <v>368</v>
      </c>
      <c r="C407" s="187"/>
      <c r="D407" s="187"/>
      <c r="E407" s="187"/>
      <c r="F407" s="209">
        <f t="shared" si="25"/>
        <v>0</v>
      </c>
      <c r="G407" s="209">
        <f t="shared" si="26"/>
        <v>0</v>
      </c>
      <c r="H407" s="209">
        <f t="shared" si="27"/>
        <v>0</v>
      </c>
      <c r="I407" s="186"/>
    </row>
    <row r="408" spans="1:9" s="198" customFormat="1" ht="12.75" hidden="1">
      <c r="A408" s="185" t="s">
        <v>369</v>
      </c>
      <c r="B408" s="185" t="s">
        <v>370</v>
      </c>
      <c r="C408" s="187"/>
      <c r="D408" s="187"/>
      <c r="E408" s="187"/>
      <c r="F408" s="209">
        <f t="shared" si="25"/>
        <v>0</v>
      </c>
      <c r="G408" s="209">
        <f t="shared" si="26"/>
        <v>0</v>
      </c>
      <c r="H408" s="209">
        <f t="shared" si="27"/>
        <v>0</v>
      </c>
      <c r="I408" s="186"/>
    </row>
    <row r="409" spans="1:9" s="198" customFormat="1" ht="25.5" hidden="1">
      <c r="A409" s="185" t="s">
        <v>371</v>
      </c>
      <c r="B409" s="185" t="s">
        <v>370</v>
      </c>
      <c r="C409" s="187"/>
      <c r="D409" s="187"/>
      <c r="E409" s="187"/>
      <c r="F409" s="209">
        <f t="shared" si="25"/>
        <v>0</v>
      </c>
      <c r="G409" s="209">
        <f t="shared" si="26"/>
        <v>0</v>
      </c>
      <c r="H409" s="209">
        <f t="shared" si="27"/>
        <v>0</v>
      </c>
      <c r="I409" s="186"/>
    </row>
    <row r="410" spans="1:9" s="198" customFormat="1" ht="12.75" hidden="1">
      <c r="A410" s="185" t="s">
        <v>372</v>
      </c>
      <c r="B410" s="185" t="s">
        <v>370</v>
      </c>
      <c r="C410" s="187"/>
      <c r="D410" s="187"/>
      <c r="E410" s="187"/>
      <c r="F410" s="209">
        <f t="shared" si="25"/>
        <v>0</v>
      </c>
      <c r="G410" s="209">
        <f t="shared" si="26"/>
        <v>0</v>
      </c>
      <c r="H410" s="209">
        <f t="shared" si="27"/>
        <v>0</v>
      </c>
      <c r="I410" s="186"/>
    </row>
    <row r="411" spans="1:9" s="198" customFormat="1" ht="25.5" hidden="1">
      <c r="A411" s="185" t="s">
        <v>373</v>
      </c>
      <c r="B411" s="185" t="s">
        <v>370</v>
      </c>
      <c r="C411" s="187"/>
      <c r="D411" s="187"/>
      <c r="E411" s="187"/>
      <c r="F411" s="209">
        <f t="shared" si="25"/>
        <v>0</v>
      </c>
      <c r="G411" s="209">
        <f t="shared" si="26"/>
        <v>0</v>
      </c>
      <c r="H411" s="209">
        <f t="shared" si="27"/>
        <v>0</v>
      </c>
      <c r="I411" s="186"/>
    </row>
    <row r="412" spans="1:9" s="198" customFormat="1" ht="12.75" hidden="1">
      <c r="A412" s="185" t="s">
        <v>374</v>
      </c>
      <c r="B412" s="185"/>
      <c r="C412" s="187"/>
      <c r="D412" s="187"/>
      <c r="E412" s="187"/>
      <c r="F412" s="209">
        <f t="shared" si="25"/>
        <v>0</v>
      </c>
      <c r="G412" s="209">
        <f t="shared" si="26"/>
        <v>0</v>
      </c>
      <c r="H412" s="209">
        <f t="shared" si="27"/>
        <v>0</v>
      </c>
      <c r="I412" s="186"/>
    </row>
    <row r="413" spans="1:9" s="198" customFormat="1" ht="12.75" hidden="1">
      <c r="A413" s="185" t="s">
        <v>375</v>
      </c>
      <c r="B413" s="185" t="s">
        <v>370</v>
      </c>
      <c r="C413" s="187"/>
      <c r="D413" s="187"/>
      <c r="E413" s="187"/>
      <c r="F413" s="209">
        <f t="shared" si="25"/>
        <v>0</v>
      </c>
      <c r="G413" s="209">
        <f t="shared" si="26"/>
        <v>0</v>
      </c>
      <c r="H413" s="209">
        <f t="shared" si="27"/>
        <v>0</v>
      </c>
      <c r="I413" s="186"/>
    </row>
    <row r="414" spans="1:9" s="198" customFormat="1" ht="12.75" hidden="1">
      <c r="A414" s="184" t="s">
        <v>376</v>
      </c>
      <c r="B414" s="185"/>
      <c r="C414" s="187"/>
      <c r="D414" s="187"/>
      <c r="E414" s="187"/>
      <c r="F414" s="209"/>
      <c r="G414" s="209"/>
      <c r="H414" s="209"/>
      <c r="I414" s="186"/>
    </row>
    <row r="415" spans="1:9" s="198" customFormat="1" ht="12.75" hidden="1">
      <c r="A415" s="185" t="s">
        <v>377</v>
      </c>
      <c r="B415" s="185" t="s">
        <v>378</v>
      </c>
      <c r="C415" s="187"/>
      <c r="D415" s="187"/>
      <c r="E415" s="209">
        <f>2.5*B483*4</f>
        <v>0</v>
      </c>
      <c r="F415" s="209">
        <f>D415*C415</f>
        <v>0</v>
      </c>
      <c r="G415" s="209">
        <f>C415*E415</f>
        <v>0</v>
      </c>
      <c r="H415" s="209">
        <f>F415+G415</f>
        <v>0</v>
      </c>
      <c r="I415" s="186"/>
    </row>
    <row r="416" spans="1:9" s="198" customFormat="1" ht="12.75" hidden="1">
      <c r="A416" s="185" t="s">
        <v>379</v>
      </c>
      <c r="B416" s="185" t="s">
        <v>380</v>
      </c>
      <c r="C416" s="187"/>
      <c r="D416" s="187"/>
      <c r="E416" s="187"/>
      <c r="F416" s="209">
        <f>D416*C416</f>
        <v>0</v>
      </c>
      <c r="G416" s="209">
        <f>C416*E416</f>
        <v>0</v>
      </c>
      <c r="H416" s="209">
        <f>F416+G416</f>
        <v>0</v>
      </c>
      <c r="I416" s="186"/>
    </row>
    <row r="417" spans="1:9" s="198" customFormat="1" ht="12.75" hidden="1">
      <c r="A417" s="185" t="s">
        <v>381</v>
      </c>
      <c r="B417" s="185" t="s">
        <v>380</v>
      </c>
      <c r="C417" s="187"/>
      <c r="D417" s="187"/>
      <c r="E417" s="187"/>
      <c r="F417" s="209">
        <f>D417*C417</f>
        <v>0</v>
      </c>
      <c r="G417" s="209">
        <f>C417*E417</f>
        <v>0</v>
      </c>
      <c r="H417" s="209">
        <f>F417+G417</f>
        <v>0</v>
      </c>
      <c r="I417" s="186"/>
    </row>
    <row r="418" spans="1:9" s="198" customFormat="1" ht="12.75" hidden="1">
      <c r="A418" s="184" t="s">
        <v>382</v>
      </c>
      <c r="B418" s="185"/>
      <c r="C418" s="187"/>
      <c r="D418" s="187"/>
      <c r="E418" s="187"/>
      <c r="F418" s="209"/>
      <c r="G418" s="209"/>
      <c r="H418" s="209"/>
      <c r="I418" s="186"/>
    </row>
    <row r="419" spans="1:9" s="198" customFormat="1" ht="12.75" hidden="1">
      <c r="A419" s="185" t="s">
        <v>435</v>
      </c>
      <c r="B419" s="185" t="s">
        <v>383</v>
      </c>
      <c r="C419" s="187"/>
      <c r="D419" s="187"/>
      <c r="E419" s="187"/>
      <c r="F419" s="209">
        <f aca="true" t="shared" si="28" ref="F419:F434">D419*C419</f>
        <v>0</v>
      </c>
      <c r="G419" s="209">
        <f aca="true" t="shared" si="29" ref="G419:G434">C419*E419</f>
        <v>0</v>
      </c>
      <c r="H419" s="209">
        <f aca="true" t="shared" si="30" ref="H419:H434">F419+G419</f>
        <v>0</v>
      </c>
      <c r="I419" s="186"/>
    </row>
    <row r="420" spans="1:9" s="198" customFormat="1" ht="12.75" hidden="1">
      <c r="A420" s="185" t="s">
        <v>433</v>
      </c>
      <c r="B420" s="185" t="s">
        <v>368</v>
      </c>
      <c r="C420" s="187"/>
      <c r="D420" s="187"/>
      <c r="E420" s="187"/>
      <c r="F420" s="209">
        <f t="shared" si="28"/>
        <v>0</v>
      </c>
      <c r="G420" s="209">
        <f t="shared" si="29"/>
        <v>0</v>
      </c>
      <c r="H420" s="209">
        <f t="shared" si="30"/>
        <v>0</v>
      </c>
      <c r="I420" s="186"/>
    </row>
    <row r="421" spans="1:9" s="198" customFormat="1" ht="12.75" hidden="1">
      <c r="A421" s="185" t="s">
        <v>384</v>
      </c>
      <c r="B421" s="185" t="s">
        <v>368</v>
      </c>
      <c r="C421" s="187"/>
      <c r="D421" s="187"/>
      <c r="E421" s="187"/>
      <c r="F421" s="209">
        <f t="shared" si="28"/>
        <v>0</v>
      </c>
      <c r="G421" s="209">
        <f t="shared" si="29"/>
        <v>0</v>
      </c>
      <c r="H421" s="209">
        <f t="shared" si="30"/>
        <v>0</v>
      </c>
      <c r="I421" s="186"/>
    </row>
    <row r="422" spans="1:9" s="198" customFormat="1" ht="12.75" hidden="1">
      <c r="A422" s="185" t="s">
        <v>385</v>
      </c>
      <c r="B422" s="185" t="s">
        <v>383</v>
      </c>
      <c r="C422" s="187"/>
      <c r="D422" s="187"/>
      <c r="E422" s="209">
        <f>20*B483</f>
        <v>0</v>
      </c>
      <c r="F422" s="209">
        <f t="shared" si="28"/>
        <v>0</v>
      </c>
      <c r="G422" s="209">
        <f t="shared" si="29"/>
        <v>0</v>
      </c>
      <c r="H422" s="209">
        <f t="shared" si="30"/>
        <v>0</v>
      </c>
      <c r="I422" s="186"/>
    </row>
    <row r="423" spans="1:9" s="198" customFormat="1" ht="12.75" hidden="1">
      <c r="A423" s="185" t="s">
        <v>386</v>
      </c>
      <c r="B423" s="185" t="s">
        <v>383</v>
      </c>
      <c r="C423" s="187"/>
      <c r="D423" s="187"/>
      <c r="E423" s="209">
        <f>E422</f>
        <v>0</v>
      </c>
      <c r="F423" s="209">
        <f t="shared" si="28"/>
        <v>0</v>
      </c>
      <c r="G423" s="209">
        <f t="shared" si="29"/>
        <v>0</v>
      </c>
      <c r="H423" s="209">
        <f t="shared" si="30"/>
        <v>0</v>
      </c>
      <c r="I423" s="186"/>
    </row>
    <row r="424" spans="1:9" s="198" customFormat="1" ht="25.5" hidden="1">
      <c r="A424" s="185" t="s">
        <v>387</v>
      </c>
      <c r="B424" s="185" t="s">
        <v>383</v>
      </c>
      <c r="C424" s="187"/>
      <c r="D424" s="187"/>
      <c r="E424" s="187"/>
      <c r="F424" s="209">
        <f t="shared" si="28"/>
        <v>0</v>
      </c>
      <c r="G424" s="209">
        <f t="shared" si="29"/>
        <v>0</v>
      </c>
      <c r="H424" s="209">
        <f t="shared" si="30"/>
        <v>0</v>
      </c>
      <c r="I424" s="186"/>
    </row>
    <row r="425" spans="1:9" s="198" customFormat="1" ht="12.75" hidden="1">
      <c r="A425" s="185" t="s">
        <v>388</v>
      </c>
      <c r="B425" s="185" t="s">
        <v>389</v>
      </c>
      <c r="C425" s="187"/>
      <c r="D425" s="187"/>
      <c r="E425" s="187"/>
      <c r="F425" s="209">
        <f t="shared" si="28"/>
        <v>0</v>
      </c>
      <c r="G425" s="209">
        <f t="shared" si="29"/>
        <v>0</v>
      </c>
      <c r="H425" s="209">
        <f t="shared" si="30"/>
        <v>0</v>
      </c>
      <c r="I425" s="186"/>
    </row>
    <row r="426" spans="1:9" s="198" customFormat="1" ht="12.75" hidden="1">
      <c r="A426" s="185" t="s">
        <v>390</v>
      </c>
      <c r="B426" s="185" t="s">
        <v>383</v>
      </c>
      <c r="C426" s="187"/>
      <c r="D426" s="187"/>
      <c r="E426" s="187"/>
      <c r="F426" s="209">
        <f t="shared" si="28"/>
        <v>0</v>
      </c>
      <c r="G426" s="209">
        <f t="shared" si="29"/>
        <v>0</v>
      </c>
      <c r="H426" s="209">
        <f t="shared" si="30"/>
        <v>0</v>
      </c>
      <c r="I426" s="186"/>
    </row>
    <row r="427" spans="1:9" s="198" customFormat="1" ht="12.75" hidden="1">
      <c r="A427" s="185" t="s">
        <v>391</v>
      </c>
      <c r="B427" s="185" t="s">
        <v>383</v>
      </c>
      <c r="C427" s="187"/>
      <c r="D427" s="187"/>
      <c r="E427" s="187"/>
      <c r="F427" s="209">
        <f t="shared" si="28"/>
        <v>0</v>
      </c>
      <c r="G427" s="209">
        <f t="shared" si="29"/>
        <v>0</v>
      </c>
      <c r="H427" s="209">
        <f t="shared" si="30"/>
        <v>0</v>
      </c>
      <c r="I427" s="186"/>
    </row>
    <row r="428" spans="1:9" s="198" customFormat="1" ht="25.5" hidden="1">
      <c r="A428" s="185" t="s">
        <v>392</v>
      </c>
      <c r="B428" s="185" t="s">
        <v>389</v>
      </c>
      <c r="C428" s="187"/>
      <c r="D428" s="187"/>
      <c r="E428" s="187"/>
      <c r="F428" s="209">
        <f t="shared" si="28"/>
        <v>0</v>
      </c>
      <c r="G428" s="209">
        <f t="shared" si="29"/>
        <v>0</v>
      </c>
      <c r="H428" s="209">
        <f t="shared" si="30"/>
        <v>0</v>
      </c>
      <c r="I428" s="186"/>
    </row>
    <row r="429" spans="1:9" s="198" customFormat="1" ht="25.5" hidden="1">
      <c r="A429" s="185" t="s">
        <v>393</v>
      </c>
      <c r="B429" s="185" t="s">
        <v>389</v>
      </c>
      <c r="C429" s="187"/>
      <c r="D429" s="187"/>
      <c r="E429" s="187"/>
      <c r="F429" s="209">
        <f t="shared" si="28"/>
        <v>0</v>
      </c>
      <c r="G429" s="209">
        <f t="shared" si="29"/>
        <v>0</v>
      </c>
      <c r="H429" s="209">
        <f t="shared" si="30"/>
        <v>0</v>
      </c>
      <c r="I429" s="186"/>
    </row>
    <row r="430" spans="1:9" s="198" customFormat="1" ht="12.75" hidden="1">
      <c r="A430" s="185" t="s">
        <v>394</v>
      </c>
      <c r="B430" s="185" t="s">
        <v>395</v>
      </c>
      <c r="C430" s="187"/>
      <c r="D430" s="187"/>
      <c r="E430" s="187"/>
      <c r="F430" s="209">
        <f t="shared" si="28"/>
        <v>0</v>
      </c>
      <c r="G430" s="209">
        <f t="shared" si="29"/>
        <v>0</v>
      </c>
      <c r="H430" s="209">
        <f t="shared" si="30"/>
        <v>0</v>
      </c>
      <c r="I430" s="186"/>
    </row>
    <row r="431" spans="1:9" s="198" customFormat="1" ht="38.25" hidden="1">
      <c r="A431" s="185" t="s">
        <v>2</v>
      </c>
      <c r="B431" s="185" t="s">
        <v>395</v>
      </c>
      <c r="C431" s="187"/>
      <c r="D431" s="187"/>
      <c r="E431" s="187"/>
      <c r="F431" s="209">
        <f t="shared" si="28"/>
        <v>0</v>
      </c>
      <c r="G431" s="209">
        <f t="shared" si="29"/>
        <v>0</v>
      </c>
      <c r="H431" s="209">
        <f t="shared" si="30"/>
        <v>0</v>
      </c>
      <c r="I431" s="186"/>
    </row>
    <row r="432" spans="1:9" s="198" customFormat="1" ht="38.25" hidden="1">
      <c r="A432" s="185" t="s">
        <v>396</v>
      </c>
      <c r="B432" s="185" t="s">
        <v>370</v>
      </c>
      <c r="C432" s="187"/>
      <c r="D432" s="187"/>
      <c r="E432" s="187"/>
      <c r="F432" s="209">
        <f t="shared" si="28"/>
        <v>0</v>
      </c>
      <c r="G432" s="209">
        <f t="shared" si="29"/>
        <v>0</v>
      </c>
      <c r="H432" s="209">
        <f t="shared" si="30"/>
        <v>0</v>
      </c>
      <c r="I432" s="186"/>
    </row>
    <row r="433" spans="1:9" s="198" customFormat="1" ht="25.5" hidden="1">
      <c r="A433" s="185" t="s">
        <v>431</v>
      </c>
      <c r="B433" s="185" t="s">
        <v>370</v>
      </c>
      <c r="C433" s="187"/>
      <c r="D433" s="187"/>
      <c r="E433" s="187"/>
      <c r="F433" s="209">
        <f>D433*C433</f>
        <v>0</v>
      </c>
      <c r="G433" s="209">
        <f>C433*E433</f>
        <v>0</v>
      </c>
      <c r="H433" s="209">
        <f>F433+G433</f>
        <v>0</v>
      </c>
      <c r="I433" s="186"/>
    </row>
    <row r="434" spans="1:9" s="198" customFormat="1" ht="25.5" hidden="1">
      <c r="A434" s="185" t="s">
        <v>432</v>
      </c>
      <c r="B434" s="185" t="s">
        <v>370</v>
      </c>
      <c r="C434" s="187"/>
      <c r="D434" s="187"/>
      <c r="E434" s="187"/>
      <c r="F434" s="209">
        <f t="shared" si="28"/>
        <v>0</v>
      </c>
      <c r="G434" s="209">
        <f t="shared" si="29"/>
        <v>0</v>
      </c>
      <c r="H434" s="209">
        <f t="shared" si="30"/>
        <v>0</v>
      </c>
      <c r="I434" s="186"/>
    </row>
    <row r="435" spans="1:9" s="198" customFormat="1" ht="12.75" hidden="1">
      <c r="A435" s="185" t="s">
        <v>397</v>
      </c>
      <c r="B435" s="185" t="s">
        <v>398</v>
      </c>
      <c r="C435" s="187"/>
      <c r="D435" s="187">
        <f>3*SUM(E407:E409)+SUM(D410:D411)+3*D412</f>
        <v>0</v>
      </c>
      <c r="E435" s="187"/>
      <c r="F435" s="209">
        <f>D435*C435</f>
        <v>0</v>
      </c>
      <c r="G435" s="209">
        <f>C435*E435</f>
        <v>0</v>
      </c>
      <c r="H435" s="209">
        <f>F435+G435</f>
        <v>0</v>
      </c>
      <c r="I435" s="186"/>
    </row>
    <row r="436" spans="1:9" s="198" customFormat="1" ht="12.75" hidden="1">
      <c r="A436" s="188" t="s">
        <v>399</v>
      </c>
      <c r="B436" s="188"/>
      <c r="C436" s="189"/>
      <c r="D436" s="189"/>
      <c r="E436" s="189"/>
      <c r="F436" s="211">
        <f>SUM(F405:F435)</f>
        <v>0</v>
      </c>
      <c r="G436" s="211">
        <f>SUM(G405:G435)</f>
        <v>0</v>
      </c>
      <c r="H436" s="211">
        <f>SUM(H405:H435)</f>
        <v>0</v>
      </c>
      <c r="I436" s="186"/>
    </row>
    <row r="437" s="198" customFormat="1" ht="12.75" hidden="1"/>
    <row r="438" s="198" customFormat="1" ht="12.75" hidden="1"/>
    <row r="439" s="198" customFormat="1" ht="12.75" hidden="1">
      <c r="A439" s="197" t="s">
        <v>400</v>
      </c>
    </row>
    <row r="440" spans="1:5" s="198" customFormat="1" ht="12.75" hidden="1">
      <c r="A440" s="182" t="s">
        <v>357</v>
      </c>
      <c r="B440" s="182" t="s">
        <v>231</v>
      </c>
      <c r="C440" s="182" t="s">
        <v>362</v>
      </c>
      <c r="D440" s="182" t="s">
        <v>4</v>
      </c>
      <c r="E440" s="183" t="s">
        <v>363</v>
      </c>
    </row>
    <row r="441" spans="1:9" s="198" customFormat="1" ht="12.75" hidden="1">
      <c r="A441" s="212" t="s">
        <v>322</v>
      </c>
      <c r="B441" s="209"/>
      <c r="C441" s="209"/>
      <c r="D441" s="209"/>
      <c r="E441" s="213"/>
      <c r="F441" s="217"/>
      <c r="G441" s="217"/>
      <c r="H441" s="217"/>
      <c r="I441" s="217"/>
    </row>
    <row r="442" spans="1:5" s="198" customFormat="1" ht="12.75" hidden="1">
      <c r="A442" s="212" t="s">
        <v>331</v>
      </c>
      <c r="B442" s="209"/>
      <c r="C442" s="209"/>
      <c r="D442" s="209">
        <f>B442+C442</f>
        <v>0</v>
      </c>
      <c r="E442" s="213"/>
    </row>
    <row r="443" spans="1:5" s="198" customFormat="1" ht="12.75" hidden="1">
      <c r="A443" s="185" t="s">
        <v>332</v>
      </c>
      <c r="B443" s="187">
        <f>'DP3'!G135</f>
        <v>66000</v>
      </c>
      <c r="C443" s="187">
        <f>'DP3'!H135</f>
        <v>62820</v>
      </c>
      <c r="D443" s="187">
        <f>B443+C443</f>
        <v>128820</v>
      </c>
      <c r="E443" s="213"/>
    </row>
    <row r="444" spans="1:5" s="198" customFormat="1" ht="12.75" hidden="1">
      <c r="A444" s="212" t="s">
        <v>333</v>
      </c>
      <c r="B444" s="209"/>
      <c r="C444" s="209"/>
      <c r="D444" s="209"/>
      <c r="E444" s="213"/>
    </row>
    <row r="445" spans="1:5" s="198" customFormat="1" ht="12.75" hidden="1">
      <c r="A445" s="212" t="s">
        <v>325</v>
      </c>
      <c r="B445" s="209"/>
      <c r="C445" s="209"/>
      <c r="D445" s="209"/>
      <c r="E445" s="213"/>
    </row>
    <row r="446" spans="1:5" s="198" customFormat="1" ht="12.75" hidden="1">
      <c r="A446" s="212" t="s">
        <v>321</v>
      </c>
      <c r="B446" s="209"/>
      <c r="C446" s="209"/>
      <c r="D446" s="209"/>
      <c r="E446" s="209"/>
    </row>
    <row r="447" spans="1:5" s="198" customFormat="1" ht="12.75" hidden="1">
      <c r="A447" s="214" t="s">
        <v>399</v>
      </c>
      <c r="B447" s="211">
        <f>SUM(B441:B446)</f>
        <v>66000</v>
      </c>
      <c r="C447" s="211">
        <f>SUM(C441:C446)</f>
        <v>62820</v>
      </c>
      <c r="D447" s="211">
        <f>SUM(D441:D446)</f>
        <v>128820</v>
      </c>
      <c r="E447" s="213"/>
    </row>
    <row r="448" spans="1:5" s="198" customFormat="1" ht="12.75" hidden="1">
      <c r="A448" s="190"/>
      <c r="B448" s="191"/>
      <c r="C448" s="191"/>
      <c r="D448" s="191"/>
      <c r="E448" s="199"/>
    </row>
    <row r="449" s="198" customFormat="1" ht="12.75" hidden="1"/>
    <row r="450" spans="1:2" s="198" customFormat="1" ht="12.75" hidden="1">
      <c r="A450" s="197" t="s">
        <v>401</v>
      </c>
      <c r="B450" s="197"/>
    </row>
    <row r="451" spans="1:9" s="198" customFormat="1" ht="12.75" hidden="1">
      <c r="A451" s="182" t="s">
        <v>402</v>
      </c>
      <c r="B451" s="182" t="s">
        <v>358</v>
      </c>
      <c r="C451" s="182" t="s">
        <v>359</v>
      </c>
      <c r="D451" s="182" t="s">
        <v>360</v>
      </c>
      <c r="E451" s="182" t="s">
        <v>361</v>
      </c>
      <c r="F451" s="182" t="s">
        <v>231</v>
      </c>
      <c r="G451" s="182" t="s">
        <v>362</v>
      </c>
      <c r="H451" s="182" t="s">
        <v>4</v>
      </c>
      <c r="I451" s="183" t="s">
        <v>363</v>
      </c>
    </row>
    <row r="452" spans="1:9" s="198" customFormat="1" ht="12.75" hidden="1">
      <c r="A452" s="185" t="s">
        <v>403</v>
      </c>
      <c r="B452" s="185" t="s">
        <v>383</v>
      </c>
      <c r="C452" s="187"/>
      <c r="D452" s="187"/>
      <c r="E452" s="187"/>
      <c r="F452" s="187"/>
      <c r="G452" s="187"/>
      <c r="H452" s="187"/>
      <c r="I452" s="186"/>
    </row>
    <row r="453" spans="1:9" s="198" customFormat="1" ht="12.75" hidden="1">
      <c r="A453" s="185" t="s">
        <v>433</v>
      </c>
      <c r="B453" s="185" t="s">
        <v>368</v>
      </c>
      <c r="C453" s="187"/>
      <c r="D453" s="187"/>
      <c r="E453" s="187"/>
      <c r="F453" s="187"/>
      <c r="G453" s="187"/>
      <c r="H453" s="187"/>
      <c r="I453" s="186"/>
    </row>
    <row r="454" spans="1:9" s="198" customFormat="1" ht="25.5" hidden="1">
      <c r="A454" s="185" t="s">
        <v>387</v>
      </c>
      <c r="B454" s="185" t="s">
        <v>383</v>
      </c>
      <c r="C454" s="187"/>
      <c r="D454" s="187"/>
      <c r="E454" s="187"/>
      <c r="F454" s="187"/>
      <c r="G454" s="187"/>
      <c r="H454" s="187"/>
      <c r="I454" s="186"/>
    </row>
    <row r="455" spans="1:9" s="198" customFormat="1" ht="12.75" hidden="1">
      <c r="A455" s="185" t="s">
        <v>434</v>
      </c>
      <c r="B455" s="185" t="s">
        <v>383</v>
      </c>
      <c r="C455" s="187"/>
      <c r="D455" s="187"/>
      <c r="E455" s="187"/>
      <c r="F455" s="187"/>
      <c r="G455" s="187"/>
      <c r="H455" s="187"/>
      <c r="I455" s="186"/>
    </row>
    <row r="456" spans="1:9" s="198" customFormat="1" ht="12.75" hidden="1">
      <c r="A456" s="185" t="s">
        <v>391</v>
      </c>
      <c r="B456" s="185" t="s">
        <v>383</v>
      </c>
      <c r="C456" s="187"/>
      <c r="D456" s="187"/>
      <c r="E456" s="187"/>
      <c r="F456" s="187"/>
      <c r="G456" s="187"/>
      <c r="H456" s="187"/>
      <c r="I456" s="186"/>
    </row>
    <row r="457" spans="1:9" s="198" customFormat="1" ht="12.75" hidden="1">
      <c r="A457" s="188" t="s">
        <v>399</v>
      </c>
      <c r="B457" s="188"/>
      <c r="C457" s="189"/>
      <c r="D457" s="189"/>
      <c r="E457" s="189"/>
      <c r="F457" s="189">
        <f>SUM(F452:F456)</f>
        <v>0</v>
      </c>
      <c r="G457" s="189">
        <f>SUM(G452:G456)</f>
        <v>0</v>
      </c>
      <c r="H457" s="189">
        <f>SUM(H452:H456)</f>
        <v>0</v>
      </c>
      <c r="I457" s="186"/>
    </row>
    <row r="458" spans="1:9" s="198" customFormat="1" ht="12.75" hidden="1">
      <c r="A458" s="190"/>
      <c r="B458" s="190"/>
      <c r="C458" s="191"/>
      <c r="D458" s="191"/>
      <c r="E458" s="191"/>
      <c r="F458" s="191"/>
      <c r="G458" s="191"/>
      <c r="H458" s="191"/>
      <c r="I458" s="199"/>
    </row>
    <row r="459" spans="1:9" s="198" customFormat="1" ht="12.75" hidden="1">
      <c r="A459" s="190"/>
      <c r="B459" s="190"/>
      <c r="C459" s="191"/>
      <c r="D459" s="191"/>
      <c r="E459" s="191"/>
      <c r="F459" s="191"/>
      <c r="G459" s="191"/>
      <c r="H459" s="191"/>
      <c r="I459" s="199"/>
    </row>
    <row r="460" s="198" customFormat="1" ht="12.75" hidden="1">
      <c r="A460" s="197" t="s">
        <v>404</v>
      </c>
    </row>
    <row r="461" spans="1:5" s="198" customFormat="1" ht="12.75" hidden="1">
      <c r="A461" s="182" t="s">
        <v>357</v>
      </c>
      <c r="B461" s="182" t="s">
        <v>231</v>
      </c>
      <c r="C461" s="182" t="s">
        <v>362</v>
      </c>
      <c r="D461" s="182" t="s">
        <v>4</v>
      </c>
      <c r="E461" s="183" t="s">
        <v>363</v>
      </c>
    </row>
    <row r="462" spans="1:5" s="198" customFormat="1" ht="12.75" hidden="1">
      <c r="A462" s="185" t="s">
        <v>322</v>
      </c>
      <c r="B462" s="187"/>
      <c r="C462" s="187"/>
      <c r="D462" s="187"/>
      <c r="E462" s="186"/>
    </row>
    <row r="463" spans="1:5" s="198" customFormat="1" ht="12.75" hidden="1">
      <c r="A463" s="185" t="s">
        <v>331</v>
      </c>
      <c r="B463" s="187"/>
      <c r="C463" s="187"/>
      <c r="D463" s="187"/>
      <c r="E463" s="186"/>
    </row>
    <row r="464" spans="1:5" s="198" customFormat="1" ht="12.75" hidden="1">
      <c r="A464" s="185" t="s">
        <v>332</v>
      </c>
      <c r="B464" s="187">
        <f>F436+B443</f>
        <v>66000</v>
      </c>
      <c r="C464" s="187">
        <f>G436+C443</f>
        <v>62820</v>
      </c>
      <c r="D464" s="187"/>
      <c r="E464" s="186"/>
    </row>
    <row r="465" spans="1:5" s="198" customFormat="1" ht="12.75" hidden="1">
      <c r="A465" s="185" t="s">
        <v>333</v>
      </c>
      <c r="B465" s="187"/>
      <c r="C465" s="187"/>
      <c r="D465" s="187"/>
      <c r="E465" s="186"/>
    </row>
    <row r="466" spans="1:5" s="198" customFormat="1" ht="12.75" hidden="1">
      <c r="A466" s="185" t="s">
        <v>325</v>
      </c>
      <c r="B466" s="187"/>
      <c r="C466" s="187"/>
      <c r="D466" s="187"/>
      <c r="E466" s="186"/>
    </row>
    <row r="467" spans="1:5" s="198" customFormat="1" ht="12.75" hidden="1">
      <c r="A467" s="185" t="s">
        <v>321</v>
      </c>
      <c r="B467" s="187"/>
      <c r="C467" s="187"/>
      <c r="D467" s="187"/>
      <c r="E467" s="186"/>
    </row>
    <row r="468" spans="1:5" s="198" customFormat="1" ht="12.75" hidden="1">
      <c r="A468" s="188" t="s">
        <v>399</v>
      </c>
      <c r="B468" s="189">
        <f>SUM(B462:B467)</f>
        <v>66000</v>
      </c>
      <c r="C468" s="189">
        <f>SUM(C462:C467)</f>
        <v>62820</v>
      </c>
      <c r="D468" s="189">
        <f>SUM(D462:D467)</f>
        <v>0</v>
      </c>
      <c r="E468" s="186"/>
    </row>
    <row r="469" spans="1:9" s="198" customFormat="1" ht="12.75" hidden="1">
      <c r="A469" s="190"/>
      <c r="B469" s="190"/>
      <c r="C469" s="191"/>
      <c r="D469" s="191"/>
      <c r="E469" s="191"/>
      <c r="F469" s="191"/>
      <c r="G469" s="191"/>
      <c r="H469" s="191"/>
      <c r="I469" s="199"/>
    </row>
    <row r="470" s="198" customFormat="1" ht="12.75" hidden="1"/>
    <row r="471" s="198" customFormat="1" ht="12.75" hidden="1"/>
    <row r="472" s="198" customFormat="1" ht="12.75" hidden="1"/>
    <row r="473" s="198" customFormat="1" ht="12.75" hidden="1"/>
    <row r="474" s="198" customFormat="1" ht="12.75" hidden="1"/>
    <row r="475" s="198" customFormat="1" ht="12.75" hidden="1"/>
    <row r="476" s="198" customFormat="1" ht="12.75" hidden="1"/>
    <row r="477" s="198" customFormat="1" ht="12.75" hidden="1"/>
    <row r="478" spans="1:2" s="198" customFormat="1" ht="24.75" hidden="1">
      <c r="A478" s="192" t="s">
        <v>357</v>
      </c>
      <c r="B478" s="183" t="s">
        <v>405</v>
      </c>
    </row>
    <row r="479" spans="1:2" s="198" customFormat="1" ht="12.75" hidden="1">
      <c r="A479" s="193" t="s">
        <v>365</v>
      </c>
      <c r="B479" s="194"/>
    </row>
    <row r="480" spans="1:2" s="198" customFormat="1" ht="12.75" hidden="1">
      <c r="A480" s="185" t="s">
        <v>406</v>
      </c>
      <c r="B480" s="194">
        <v>0</v>
      </c>
    </row>
    <row r="481" spans="1:2" s="198" customFormat="1" ht="12.75" hidden="1">
      <c r="A481" s="185" t="s">
        <v>407</v>
      </c>
      <c r="B481" s="194">
        <v>0</v>
      </c>
    </row>
    <row r="482" spans="1:2" s="198" customFormat="1" ht="12.75" hidden="1">
      <c r="A482" s="185" t="s">
        <v>408</v>
      </c>
      <c r="B482" s="194">
        <v>0</v>
      </c>
    </row>
    <row r="483" spans="1:2" s="198" customFormat="1" ht="12.75" hidden="1">
      <c r="A483" s="185" t="s">
        <v>409</v>
      </c>
      <c r="B483" s="194">
        <v>0</v>
      </c>
    </row>
    <row r="484" spans="1:2" s="198" customFormat="1" ht="12.75" hidden="1">
      <c r="A484" s="195" t="s">
        <v>410</v>
      </c>
      <c r="B484" s="194">
        <f>B480*B481*B483</f>
        <v>0</v>
      </c>
    </row>
    <row r="485" spans="1:2" s="198" customFormat="1" ht="12.75" hidden="1">
      <c r="A485" s="195" t="s">
        <v>411</v>
      </c>
      <c r="B485" s="194">
        <f>B480*B481*B482</f>
        <v>0</v>
      </c>
    </row>
    <row r="486" spans="1:2" s="198" customFormat="1" ht="12.75" hidden="1">
      <c r="A486" s="193" t="s">
        <v>412</v>
      </c>
      <c r="B486" s="196"/>
    </row>
    <row r="487" spans="1:2" s="198" customFormat="1" ht="12.75" hidden="1">
      <c r="A487" s="185" t="s">
        <v>413</v>
      </c>
      <c r="B487" s="194">
        <v>0</v>
      </c>
    </row>
    <row r="488" spans="1:2" s="198" customFormat="1" ht="12.75" hidden="1">
      <c r="A488" s="185" t="s">
        <v>369</v>
      </c>
      <c r="B488" s="194"/>
    </row>
    <row r="489" spans="1:2" s="198" customFormat="1" ht="25.5" hidden="1">
      <c r="A489" s="185" t="s">
        <v>371</v>
      </c>
      <c r="B489" s="194"/>
    </row>
    <row r="490" spans="1:2" s="198" customFormat="1" ht="12.75" hidden="1">
      <c r="A490" s="195" t="s">
        <v>414</v>
      </c>
      <c r="B490" s="194">
        <f>SUM(B487:B489)</f>
        <v>0</v>
      </c>
    </row>
    <row r="491" spans="1:2" s="198" customFormat="1" ht="12.75" hidden="1">
      <c r="A491" s="193" t="s">
        <v>415</v>
      </c>
      <c r="B491" s="194"/>
    </row>
    <row r="492" spans="1:2" s="198" customFormat="1" ht="12.75" hidden="1">
      <c r="A492" s="185" t="s">
        <v>372</v>
      </c>
      <c r="B492" s="194"/>
    </row>
    <row r="493" spans="1:2" s="198" customFormat="1" ht="25.5" hidden="1">
      <c r="A493" s="185" t="s">
        <v>373</v>
      </c>
      <c r="B493" s="194"/>
    </row>
    <row r="494" spans="1:2" s="198" customFormat="1" ht="12.75" hidden="1">
      <c r="A494" s="185" t="s">
        <v>374</v>
      </c>
      <c r="B494" s="194"/>
    </row>
    <row r="495" spans="1:2" s="198" customFormat="1" ht="12.75" hidden="1">
      <c r="A495" s="195" t="s">
        <v>416</v>
      </c>
      <c r="B495" s="194">
        <f>SUM(B492:B494)</f>
        <v>0</v>
      </c>
    </row>
    <row r="496" spans="1:2" s="198" customFormat="1" ht="12.75" hidden="1">
      <c r="A496" s="193" t="s">
        <v>417</v>
      </c>
      <c r="B496" s="200">
        <f>B484+B490</f>
        <v>0</v>
      </c>
    </row>
    <row r="497" spans="1:2" s="198" customFormat="1" ht="12.75" hidden="1">
      <c r="A497" s="193" t="s">
        <v>418</v>
      </c>
      <c r="B497" s="200">
        <f>B485+B495</f>
        <v>0</v>
      </c>
    </row>
    <row r="498" spans="1:2" s="198" customFormat="1" ht="12.75" hidden="1">
      <c r="A498" s="188" t="s">
        <v>399</v>
      </c>
      <c r="B498" s="200">
        <f>B496+B497</f>
        <v>0</v>
      </c>
    </row>
    <row r="499" s="198" customFormat="1" ht="12.75" hidden="1"/>
    <row r="500" s="198" customFormat="1" ht="12.75" hidden="1"/>
    <row r="501" spans="1:6" s="198" customFormat="1" ht="12.75" customHeight="1" hidden="1">
      <c r="A501" s="204"/>
      <c r="B501" s="204" t="s">
        <v>429</v>
      </c>
      <c r="C501" s="204" t="s">
        <v>430</v>
      </c>
      <c r="D501" s="204"/>
      <c r="E501" s="201"/>
      <c r="F501" s="201"/>
    </row>
    <row r="502" spans="1:6" s="198" customFormat="1" ht="12.75" customHeight="1" hidden="1">
      <c r="A502" s="205" t="s">
        <v>109</v>
      </c>
      <c r="B502" s="204"/>
      <c r="C502" s="204"/>
      <c r="D502" s="204"/>
      <c r="E502" s="201"/>
      <c r="F502" s="201"/>
    </row>
    <row r="503" spans="1:4" s="198" customFormat="1" ht="12.75" customHeight="1" hidden="1">
      <c r="A503" s="206" t="s">
        <v>385</v>
      </c>
      <c r="B503" s="208">
        <f>F422</f>
        <v>0</v>
      </c>
      <c r="C503" s="208">
        <v>100000</v>
      </c>
      <c r="D503" s="204"/>
    </row>
    <row r="504" spans="1:4" s="198" customFormat="1" ht="12.75" customHeight="1" hidden="1">
      <c r="A504" s="206" t="s">
        <v>386</v>
      </c>
      <c r="B504" s="208">
        <f>F423</f>
        <v>0</v>
      </c>
      <c r="C504" s="208">
        <v>72000</v>
      </c>
      <c r="D504" s="204"/>
    </row>
    <row r="505" spans="1:4" s="198" customFormat="1" ht="12.75" customHeight="1" hidden="1">
      <c r="A505" s="207" t="s">
        <v>108</v>
      </c>
      <c r="B505" s="204"/>
      <c r="C505" s="204"/>
      <c r="D505" s="204"/>
    </row>
    <row r="506" spans="1:4" s="198" customFormat="1" ht="12.75" customHeight="1" hidden="1">
      <c r="A506" s="206" t="s">
        <v>442</v>
      </c>
      <c r="B506" s="208">
        <f>F428</f>
        <v>0</v>
      </c>
      <c r="C506" s="208">
        <f>G428</f>
        <v>0</v>
      </c>
      <c r="D506" s="204"/>
    </row>
    <row r="507" spans="1:4" s="198" customFormat="1" ht="12.75" customHeight="1" hidden="1">
      <c r="A507" s="206" t="s">
        <v>443</v>
      </c>
      <c r="B507" s="208">
        <v>60000</v>
      </c>
      <c r="C507" s="208">
        <f>G433</f>
        <v>0</v>
      </c>
      <c r="D507" s="204"/>
    </row>
    <row r="508" spans="1:4" s="198" customFormat="1" ht="12.75" customHeight="1" hidden="1">
      <c r="A508" s="206" t="s">
        <v>444</v>
      </c>
      <c r="B508" s="208">
        <f>F434</f>
        <v>0</v>
      </c>
      <c r="C508" s="208">
        <f>G434</f>
        <v>0</v>
      </c>
      <c r="D508" s="204"/>
    </row>
    <row r="509" spans="1:4" s="198" customFormat="1" ht="12.75" customHeight="1" hidden="1">
      <c r="A509" s="206" t="s">
        <v>445</v>
      </c>
      <c r="B509" s="208">
        <f>F432</f>
        <v>0</v>
      </c>
      <c r="C509" s="208">
        <f>G432</f>
        <v>0</v>
      </c>
      <c r="D509" s="204"/>
    </row>
    <row r="510" spans="1:4" s="198" customFormat="1" ht="12.75" customHeight="1" hidden="1">
      <c r="A510" s="206" t="s">
        <v>446</v>
      </c>
      <c r="B510" s="208">
        <f>B447</f>
        <v>66000</v>
      </c>
      <c r="C510" s="208">
        <f>C447</f>
        <v>62820</v>
      </c>
      <c r="D510" s="204"/>
    </row>
    <row r="511" spans="1:4" s="198" customFormat="1" ht="12.75" customHeight="1" hidden="1">
      <c r="A511" s="207" t="s">
        <v>95</v>
      </c>
      <c r="B511" s="204"/>
      <c r="C511" s="204"/>
      <c r="D511" s="204"/>
    </row>
    <row r="512" spans="1:4" s="198" customFormat="1" ht="25.5" customHeight="1" hidden="1">
      <c r="A512" s="206" t="s">
        <v>387</v>
      </c>
      <c r="B512" s="208">
        <f>F424+F454</f>
        <v>0</v>
      </c>
      <c r="C512" s="208">
        <f>G424+G454</f>
        <v>0</v>
      </c>
      <c r="D512" s="204"/>
    </row>
    <row r="513" spans="1:4" s="198" customFormat="1" ht="12.75" customHeight="1" hidden="1">
      <c r="A513" s="207" t="s">
        <v>91</v>
      </c>
      <c r="B513" s="204"/>
      <c r="C513" s="204"/>
      <c r="D513" s="204"/>
    </row>
    <row r="514" spans="1:4" s="198" customFormat="1" ht="12.75" customHeight="1" hidden="1">
      <c r="A514" s="206" t="s">
        <v>427</v>
      </c>
      <c r="B514" s="208">
        <f>SUM(F415:F417)</f>
        <v>0</v>
      </c>
      <c r="C514" s="208">
        <f>SUM(G415:G417)</f>
        <v>0</v>
      </c>
      <c r="D514" s="204"/>
    </row>
    <row r="515" spans="1:4" s="198" customFormat="1" ht="12.75" customHeight="1" hidden="1">
      <c r="A515" s="207" t="s">
        <v>105</v>
      </c>
      <c r="D515" s="204"/>
    </row>
    <row r="516" spans="1:4" s="198" customFormat="1" ht="38.25" customHeight="1" hidden="1">
      <c r="A516" s="206" t="s">
        <v>205</v>
      </c>
      <c r="B516" s="208">
        <f>F429</f>
        <v>0</v>
      </c>
      <c r="C516" s="208">
        <f>G429</f>
        <v>0</v>
      </c>
      <c r="D516" s="204"/>
    </row>
    <row r="517" spans="1:4" s="198" customFormat="1" ht="12.75" customHeight="1" hidden="1">
      <c r="A517" s="206" t="s">
        <v>397</v>
      </c>
      <c r="B517" s="208">
        <v>57000</v>
      </c>
      <c r="C517" s="208">
        <f>G435</f>
        <v>0</v>
      </c>
      <c r="D517" s="204"/>
    </row>
    <row r="518" spans="1:4" s="198" customFormat="1" ht="12.75" customHeight="1" hidden="1">
      <c r="A518" s="207" t="s">
        <v>94</v>
      </c>
      <c r="B518" s="204"/>
      <c r="C518" s="204"/>
      <c r="D518" s="204"/>
    </row>
    <row r="519" spans="1:4" s="198" customFormat="1" ht="12.75" customHeight="1" hidden="1">
      <c r="A519" s="206" t="s">
        <v>375</v>
      </c>
      <c r="B519" s="208">
        <f>F413</f>
        <v>0</v>
      </c>
      <c r="C519" s="208">
        <f>G413</f>
        <v>0</v>
      </c>
      <c r="D519" s="204"/>
    </row>
    <row r="520" spans="1:4" s="198" customFormat="1" ht="12.75" customHeight="1" hidden="1">
      <c r="A520" s="206" t="s">
        <v>453</v>
      </c>
      <c r="B520" s="208">
        <f>F430</f>
        <v>0</v>
      </c>
      <c r="C520" s="208">
        <f>G430</f>
        <v>0</v>
      </c>
      <c r="D520" s="204"/>
    </row>
    <row r="521" spans="1:4" s="198" customFormat="1" ht="12.75" customHeight="1" hidden="1">
      <c r="A521" s="206" t="s">
        <v>454</v>
      </c>
      <c r="B521" s="208">
        <f>F431</f>
        <v>0</v>
      </c>
      <c r="C521" s="208">
        <f>G431</f>
        <v>0</v>
      </c>
      <c r="D521" s="204"/>
    </row>
    <row r="522" spans="1:4" s="198" customFormat="1" ht="12.75" customHeight="1" hidden="1">
      <c r="A522" s="206" t="s">
        <v>426</v>
      </c>
      <c r="B522" s="208">
        <f>SUM(F406:F412)</f>
        <v>0</v>
      </c>
      <c r="C522" s="208">
        <v>175000</v>
      </c>
      <c r="D522" s="204"/>
    </row>
    <row r="523" spans="1:4" s="198" customFormat="1" ht="12.75" customHeight="1" hidden="1">
      <c r="A523" s="207" t="s">
        <v>103</v>
      </c>
      <c r="B523" s="204"/>
      <c r="C523" s="204"/>
      <c r="D523" s="204"/>
    </row>
    <row r="524" spans="1:4" s="198" customFormat="1" ht="12.75" customHeight="1" hidden="1">
      <c r="A524" s="206" t="s">
        <v>58</v>
      </c>
      <c r="B524" s="208">
        <f>F421</f>
        <v>0</v>
      </c>
      <c r="C524" s="208">
        <f>G421</f>
        <v>0</v>
      </c>
      <c r="D524" s="204"/>
    </row>
    <row r="525" spans="1:4" s="198" customFormat="1" ht="12.75" customHeight="1" hidden="1">
      <c r="A525" s="207" t="s">
        <v>90</v>
      </c>
      <c r="B525" s="204"/>
      <c r="C525" s="204"/>
      <c r="D525" s="204"/>
    </row>
    <row r="526" spans="1:4" s="198" customFormat="1" ht="12.75" customHeight="1" hidden="1">
      <c r="A526" s="206" t="s">
        <v>354</v>
      </c>
      <c r="B526" s="208">
        <f>F420+F453</f>
        <v>0</v>
      </c>
      <c r="C526" s="208">
        <f>G420+G453</f>
        <v>0</v>
      </c>
      <c r="D526" s="204"/>
    </row>
    <row r="527" spans="1:4" s="198" customFormat="1" ht="12.75" customHeight="1" hidden="1">
      <c r="A527" s="206" t="s">
        <v>388</v>
      </c>
      <c r="B527" s="208">
        <f>F425</f>
        <v>0</v>
      </c>
      <c r="C527" s="208">
        <f>G425</f>
        <v>0</v>
      </c>
      <c r="D527" s="204"/>
    </row>
    <row r="528" spans="1:4" s="198" customFormat="1" ht="12.75" customHeight="1" hidden="1">
      <c r="A528" s="207" t="s">
        <v>122</v>
      </c>
      <c r="B528" s="204"/>
      <c r="C528" s="204"/>
      <c r="D528" s="204"/>
    </row>
    <row r="529" spans="1:4" s="198" customFormat="1" ht="12.75" customHeight="1" hidden="1">
      <c r="A529" s="206" t="s">
        <v>390</v>
      </c>
      <c r="B529" s="208">
        <f>F426+F455</f>
        <v>0</v>
      </c>
      <c r="C529" s="208">
        <v>142180</v>
      </c>
      <c r="D529" s="204"/>
    </row>
    <row r="530" spans="1:4" s="198" customFormat="1" ht="12.75" customHeight="1" hidden="1">
      <c r="A530" s="206" t="s">
        <v>403</v>
      </c>
      <c r="B530" s="208">
        <f>F419+F452</f>
        <v>0</v>
      </c>
      <c r="C530" s="208">
        <v>180000</v>
      </c>
      <c r="D530" s="204"/>
    </row>
    <row r="531" spans="1:4" s="198" customFormat="1" ht="12.75" customHeight="1" hidden="1">
      <c r="A531" s="207" t="s">
        <v>124</v>
      </c>
      <c r="B531" s="204"/>
      <c r="C531" s="204"/>
      <c r="D531" s="204"/>
    </row>
    <row r="532" spans="1:4" s="198" customFormat="1" ht="12.75" customHeight="1" hidden="1">
      <c r="A532" s="206" t="s">
        <v>391</v>
      </c>
      <c r="B532" s="208">
        <f>F427+F456</f>
        <v>0</v>
      </c>
      <c r="C532" s="208">
        <f>G427+G456</f>
        <v>0</v>
      </c>
      <c r="D532" s="204"/>
    </row>
    <row r="533" spans="1:4" s="198" customFormat="1" ht="12.75" customHeight="1" hidden="1">
      <c r="A533" s="206"/>
      <c r="B533" s="204">
        <f>SUM(B502:B532)</f>
        <v>183000</v>
      </c>
      <c r="C533" s="204">
        <f>SUM(C502:C532)</f>
        <v>732000</v>
      </c>
      <c r="D533" s="204"/>
    </row>
    <row r="534" spans="1:3" s="198" customFormat="1" ht="12.75">
      <c r="A534" s="202"/>
      <c r="B534" s="218"/>
      <c r="C534" s="218"/>
    </row>
    <row r="535" s="198" customFormat="1" ht="12.75">
      <c r="A535" s="216" t="s">
        <v>458</v>
      </c>
    </row>
    <row r="536" spans="1:9" s="198" customFormat="1" ht="12.75" hidden="1">
      <c r="A536" s="182" t="s">
        <v>357</v>
      </c>
      <c r="B536" s="182" t="s">
        <v>358</v>
      </c>
      <c r="C536" s="182" t="s">
        <v>359</v>
      </c>
      <c r="D536" s="182" t="s">
        <v>360</v>
      </c>
      <c r="E536" s="182" t="s">
        <v>361</v>
      </c>
      <c r="F536" s="182" t="s">
        <v>231</v>
      </c>
      <c r="G536" s="182" t="s">
        <v>362</v>
      </c>
      <c r="H536" s="182" t="s">
        <v>4</v>
      </c>
      <c r="I536" s="183" t="s">
        <v>363</v>
      </c>
    </row>
    <row r="537" spans="1:9" s="198" customFormat="1" ht="12.75" hidden="1">
      <c r="A537" s="184" t="s">
        <v>364</v>
      </c>
      <c r="B537" s="185"/>
      <c r="C537" s="186"/>
      <c r="D537" s="186"/>
      <c r="E537" s="186"/>
      <c r="F537" s="186"/>
      <c r="G537" s="186"/>
      <c r="H537" s="186"/>
      <c r="I537" s="186"/>
    </row>
    <row r="538" spans="1:9" s="198" customFormat="1" ht="12.75" hidden="1">
      <c r="A538" s="185" t="s">
        <v>365</v>
      </c>
      <c r="B538" s="185" t="s">
        <v>366</v>
      </c>
      <c r="C538" s="187">
        <v>20</v>
      </c>
      <c r="D538" s="187">
        <f>B617</f>
        <v>400</v>
      </c>
      <c r="E538" s="187">
        <f>B616</f>
        <v>2000</v>
      </c>
      <c r="F538" s="209">
        <f aca="true" t="shared" si="31" ref="F538:F545">D538*C538</f>
        <v>8000</v>
      </c>
      <c r="G538" s="209">
        <f aca="true" t="shared" si="32" ref="G538:G545">C538*E538</f>
        <v>40000</v>
      </c>
      <c r="H538" s="209">
        <f aca="true" t="shared" si="33" ref="H538:H545">F538+G538</f>
        <v>48000</v>
      </c>
      <c r="I538" s="186"/>
    </row>
    <row r="539" spans="1:9" s="198" customFormat="1" ht="12.75" hidden="1">
      <c r="A539" s="185" t="s">
        <v>367</v>
      </c>
      <c r="B539" s="185" t="s">
        <v>368</v>
      </c>
      <c r="C539" s="187">
        <f>C538</f>
        <v>20</v>
      </c>
      <c r="D539" s="187"/>
      <c r="E539" s="187">
        <v>120</v>
      </c>
      <c r="F539" s="209">
        <f t="shared" si="31"/>
        <v>0</v>
      </c>
      <c r="G539" s="209">
        <f t="shared" si="32"/>
        <v>2400</v>
      </c>
      <c r="H539" s="209">
        <f t="shared" si="33"/>
        <v>2400</v>
      </c>
      <c r="I539" s="186"/>
    </row>
    <row r="540" spans="1:9" s="198" customFormat="1" ht="12.75" hidden="1">
      <c r="A540" s="185" t="s">
        <v>369</v>
      </c>
      <c r="B540" s="185" t="s">
        <v>370</v>
      </c>
      <c r="C540" s="187">
        <f>C538</f>
        <v>20</v>
      </c>
      <c r="D540" s="187"/>
      <c r="E540" s="187">
        <v>50</v>
      </c>
      <c r="F540" s="209">
        <f t="shared" si="31"/>
        <v>0</v>
      </c>
      <c r="G540" s="209">
        <f t="shared" si="32"/>
        <v>1000</v>
      </c>
      <c r="H540" s="209">
        <f t="shared" si="33"/>
        <v>1000</v>
      </c>
      <c r="I540" s="186"/>
    </row>
    <row r="541" spans="1:9" s="198" customFormat="1" ht="25.5" hidden="1">
      <c r="A541" s="185" t="s">
        <v>371</v>
      </c>
      <c r="B541" s="185" t="s">
        <v>370</v>
      </c>
      <c r="C541" s="187">
        <v>10</v>
      </c>
      <c r="D541" s="187"/>
      <c r="E541" s="187">
        <v>175</v>
      </c>
      <c r="F541" s="209">
        <f t="shared" si="31"/>
        <v>0</v>
      </c>
      <c r="G541" s="209">
        <f t="shared" si="32"/>
        <v>1750</v>
      </c>
      <c r="H541" s="209">
        <f t="shared" si="33"/>
        <v>1750</v>
      </c>
      <c r="I541" s="186"/>
    </row>
    <row r="542" spans="1:9" s="198" customFormat="1" ht="12.75" hidden="1">
      <c r="A542" s="185" t="s">
        <v>372</v>
      </c>
      <c r="B542" s="185" t="s">
        <v>370</v>
      </c>
      <c r="C542" s="187">
        <f>C541</f>
        <v>10</v>
      </c>
      <c r="D542" s="187"/>
      <c r="E542" s="187"/>
      <c r="F542" s="209">
        <f t="shared" si="31"/>
        <v>0</v>
      </c>
      <c r="G542" s="209">
        <f t="shared" si="32"/>
        <v>0</v>
      </c>
      <c r="H542" s="209">
        <f t="shared" si="33"/>
        <v>0</v>
      </c>
      <c r="I542" s="186"/>
    </row>
    <row r="543" spans="1:9" s="198" customFormat="1" ht="25.5" hidden="1">
      <c r="A543" s="185" t="s">
        <v>373</v>
      </c>
      <c r="B543" s="185" t="s">
        <v>370</v>
      </c>
      <c r="C543" s="187">
        <f>C542</f>
        <v>10</v>
      </c>
      <c r="D543" s="187"/>
      <c r="E543" s="187"/>
      <c r="F543" s="209">
        <f t="shared" si="31"/>
        <v>0</v>
      </c>
      <c r="G543" s="209">
        <f t="shared" si="32"/>
        <v>0</v>
      </c>
      <c r="H543" s="209">
        <f t="shared" si="33"/>
        <v>0</v>
      </c>
      <c r="I543" s="186"/>
    </row>
    <row r="544" spans="1:9" s="198" customFormat="1" ht="12.75" hidden="1">
      <c r="A544" s="185" t="s">
        <v>374</v>
      </c>
      <c r="B544" s="185"/>
      <c r="C544" s="187">
        <f>C540</f>
        <v>20</v>
      </c>
      <c r="D544" s="187"/>
      <c r="E544" s="187"/>
      <c r="F544" s="209">
        <f t="shared" si="31"/>
        <v>0</v>
      </c>
      <c r="G544" s="209">
        <f t="shared" si="32"/>
        <v>0</v>
      </c>
      <c r="H544" s="209">
        <f t="shared" si="33"/>
        <v>0</v>
      </c>
      <c r="I544" s="186"/>
    </row>
    <row r="545" spans="1:9" s="198" customFormat="1" ht="12.75" hidden="1">
      <c r="A545" s="185" t="s">
        <v>375</v>
      </c>
      <c r="B545" s="185" t="s">
        <v>370</v>
      </c>
      <c r="C545" s="187">
        <v>1</v>
      </c>
      <c r="D545" s="187">
        <f>3*10*D538/20</f>
        <v>600</v>
      </c>
      <c r="E545" s="187">
        <f>3*10*E538/20</f>
        <v>3000</v>
      </c>
      <c r="F545" s="209">
        <f t="shared" si="31"/>
        <v>600</v>
      </c>
      <c r="G545" s="209">
        <f t="shared" si="32"/>
        <v>3000</v>
      </c>
      <c r="H545" s="209">
        <f t="shared" si="33"/>
        <v>3600</v>
      </c>
      <c r="I545" s="186"/>
    </row>
    <row r="546" spans="1:9" s="198" customFormat="1" ht="12.75" hidden="1">
      <c r="A546" s="184" t="s">
        <v>376</v>
      </c>
      <c r="B546" s="185"/>
      <c r="C546" s="187"/>
      <c r="D546" s="187"/>
      <c r="E546" s="187"/>
      <c r="F546" s="209"/>
      <c r="G546" s="209"/>
      <c r="H546" s="209"/>
      <c r="I546" s="186"/>
    </row>
    <row r="547" spans="1:9" s="198" customFormat="1" ht="12.75" hidden="1">
      <c r="A547" s="185" t="s">
        <v>377</v>
      </c>
      <c r="B547" s="185" t="s">
        <v>378</v>
      </c>
      <c r="C547" s="187">
        <v>5</v>
      </c>
      <c r="D547" s="187"/>
      <c r="E547" s="187">
        <f>2.5*B615*4</f>
        <v>1000</v>
      </c>
      <c r="F547" s="209">
        <f>D547*C547</f>
        <v>0</v>
      </c>
      <c r="G547" s="209">
        <f>C547*E547</f>
        <v>5000</v>
      </c>
      <c r="H547" s="209">
        <f>F547+G547</f>
        <v>5000</v>
      </c>
      <c r="I547" s="186"/>
    </row>
    <row r="548" spans="1:9" s="198" customFormat="1" ht="12.75" hidden="1">
      <c r="A548" s="185" t="s">
        <v>379</v>
      </c>
      <c r="B548" s="185" t="s">
        <v>380</v>
      </c>
      <c r="C548" s="187">
        <f>C547</f>
        <v>5</v>
      </c>
      <c r="D548" s="187"/>
      <c r="E548" s="187">
        <f>2.5*4*80</f>
        <v>800</v>
      </c>
      <c r="F548" s="209">
        <f>D548*C548</f>
        <v>0</v>
      </c>
      <c r="G548" s="209">
        <f>C548*E548</f>
        <v>4000</v>
      </c>
      <c r="H548" s="209">
        <f>F548+G548</f>
        <v>4000</v>
      </c>
      <c r="I548" s="186"/>
    </row>
    <row r="549" spans="1:9" s="198" customFormat="1" ht="12.75" hidden="1">
      <c r="A549" s="185" t="s">
        <v>381</v>
      </c>
      <c r="B549" s="185" t="s">
        <v>380</v>
      </c>
      <c r="C549" s="187">
        <f>C548</f>
        <v>5</v>
      </c>
      <c r="D549" s="187"/>
      <c r="E549" s="187">
        <f>400*4</f>
        <v>1600</v>
      </c>
      <c r="F549" s="209">
        <f>D549*C549</f>
        <v>0</v>
      </c>
      <c r="G549" s="209">
        <f>C549*E549</f>
        <v>8000</v>
      </c>
      <c r="H549" s="209">
        <f>F549+G549</f>
        <v>8000</v>
      </c>
      <c r="I549" s="186"/>
    </row>
    <row r="550" spans="1:9" s="198" customFormat="1" ht="12.75" hidden="1">
      <c r="A550" s="184" t="s">
        <v>382</v>
      </c>
      <c r="B550" s="185"/>
      <c r="C550" s="187"/>
      <c r="D550" s="187"/>
      <c r="E550" s="187"/>
      <c r="F550" s="209"/>
      <c r="G550" s="209"/>
      <c r="H550" s="209"/>
      <c r="I550" s="186"/>
    </row>
    <row r="551" spans="1:9" s="198" customFormat="1" ht="12.75" hidden="1">
      <c r="A551" s="185" t="s">
        <v>435</v>
      </c>
      <c r="B551" s="185" t="s">
        <v>383</v>
      </c>
      <c r="C551" s="187">
        <f>3*2*4+42</f>
        <v>66</v>
      </c>
      <c r="D551" s="187"/>
      <c r="E551" s="187">
        <v>200</v>
      </c>
      <c r="F551" s="209">
        <f aca="true" t="shared" si="34" ref="F551:F566">D551*C551</f>
        <v>0</v>
      </c>
      <c r="G551" s="209">
        <f aca="true" t="shared" si="35" ref="G551:G566">C551*E551</f>
        <v>13200</v>
      </c>
      <c r="H551" s="209">
        <f aca="true" t="shared" si="36" ref="H551:H566">F551+G551</f>
        <v>13200</v>
      </c>
      <c r="I551" s="186"/>
    </row>
    <row r="552" spans="1:9" s="198" customFormat="1" ht="12.75" hidden="1">
      <c r="A552" s="185" t="s">
        <v>433</v>
      </c>
      <c r="B552" s="185" t="s">
        <v>368</v>
      </c>
      <c r="C552" s="187">
        <v>3</v>
      </c>
      <c r="D552" s="187"/>
      <c r="E552" s="187">
        <f>2000+1000</f>
        <v>3000</v>
      </c>
      <c r="F552" s="209">
        <f t="shared" si="34"/>
        <v>0</v>
      </c>
      <c r="G552" s="209">
        <f t="shared" si="35"/>
        <v>9000</v>
      </c>
      <c r="H552" s="209">
        <f t="shared" si="36"/>
        <v>9000</v>
      </c>
      <c r="I552" s="186"/>
    </row>
    <row r="553" spans="1:9" s="198" customFormat="1" ht="12.75" hidden="1">
      <c r="A553" s="185" t="s">
        <v>384</v>
      </c>
      <c r="B553" s="185" t="s">
        <v>368</v>
      </c>
      <c r="C553" s="187">
        <v>3</v>
      </c>
      <c r="D553" s="187"/>
      <c r="E553" s="187">
        <v>2000</v>
      </c>
      <c r="F553" s="209">
        <f t="shared" si="34"/>
        <v>0</v>
      </c>
      <c r="G553" s="209">
        <f t="shared" si="35"/>
        <v>6000</v>
      </c>
      <c r="H553" s="209">
        <f t="shared" si="36"/>
        <v>6000</v>
      </c>
      <c r="I553" s="186"/>
    </row>
    <row r="554" spans="1:9" s="198" customFormat="1" ht="12.75" hidden="1">
      <c r="A554" s="185" t="s">
        <v>385</v>
      </c>
      <c r="B554" s="185" t="s">
        <v>383</v>
      </c>
      <c r="C554" s="187">
        <f>3*4</f>
        <v>12</v>
      </c>
      <c r="D554" s="187"/>
      <c r="E554" s="187">
        <f>20*B615</f>
        <v>2000</v>
      </c>
      <c r="F554" s="209">
        <f t="shared" si="34"/>
        <v>0</v>
      </c>
      <c r="G554" s="209">
        <f t="shared" si="35"/>
        <v>24000</v>
      </c>
      <c r="H554" s="209">
        <f t="shared" si="36"/>
        <v>24000</v>
      </c>
      <c r="I554" s="186"/>
    </row>
    <row r="555" spans="1:9" s="198" customFormat="1" ht="12.75" hidden="1">
      <c r="A555" s="185" t="s">
        <v>386</v>
      </c>
      <c r="B555" s="185" t="s">
        <v>383</v>
      </c>
      <c r="C555" s="187">
        <f>3*4</f>
        <v>12</v>
      </c>
      <c r="D555" s="187"/>
      <c r="E555" s="187">
        <f>E554</f>
        <v>2000</v>
      </c>
      <c r="F555" s="209">
        <f t="shared" si="34"/>
        <v>0</v>
      </c>
      <c r="G555" s="209">
        <f t="shared" si="35"/>
        <v>24000</v>
      </c>
      <c r="H555" s="209">
        <f t="shared" si="36"/>
        <v>24000</v>
      </c>
      <c r="I555" s="186"/>
    </row>
    <row r="556" spans="1:9" s="198" customFormat="1" ht="25.5" hidden="1">
      <c r="A556" s="185" t="s">
        <v>387</v>
      </c>
      <c r="B556" s="185" t="s">
        <v>383</v>
      </c>
      <c r="C556" s="187">
        <f>3*4</f>
        <v>12</v>
      </c>
      <c r="D556" s="187"/>
      <c r="E556" s="187">
        <v>600</v>
      </c>
      <c r="F556" s="209">
        <f t="shared" si="34"/>
        <v>0</v>
      </c>
      <c r="G556" s="209">
        <f t="shared" si="35"/>
        <v>7200</v>
      </c>
      <c r="H556" s="209">
        <f t="shared" si="36"/>
        <v>7200</v>
      </c>
      <c r="I556" s="186"/>
    </row>
    <row r="557" spans="1:9" s="198" customFormat="1" ht="12.75" hidden="1">
      <c r="A557" s="185" t="s">
        <v>388</v>
      </c>
      <c r="B557" s="185" t="s">
        <v>389</v>
      </c>
      <c r="C557" s="187">
        <v>4</v>
      </c>
      <c r="D557" s="187"/>
      <c r="E557" s="187">
        <v>8000</v>
      </c>
      <c r="F557" s="209">
        <f t="shared" si="34"/>
        <v>0</v>
      </c>
      <c r="G557" s="209">
        <f t="shared" si="35"/>
        <v>32000</v>
      </c>
      <c r="H557" s="209">
        <f t="shared" si="36"/>
        <v>32000</v>
      </c>
      <c r="I557" s="186"/>
    </row>
    <row r="558" spans="1:9" s="198" customFormat="1" ht="12.75" hidden="1">
      <c r="A558" s="185" t="s">
        <v>390</v>
      </c>
      <c r="B558" s="185" t="s">
        <v>383</v>
      </c>
      <c r="C558" s="187">
        <v>42</v>
      </c>
      <c r="D558" s="187"/>
      <c r="E558" s="187">
        <v>200</v>
      </c>
      <c r="F558" s="209">
        <f t="shared" si="34"/>
        <v>0</v>
      </c>
      <c r="G558" s="209">
        <f t="shared" si="35"/>
        <v>8400</v>
      </c>
      <c r="H558" s="209">
        <f t="shared" si="36"/>
        <v>8400</v>
      </c>
      <c r="I558" s="186"/>
    </row>
    <row r="559" spans="1:9" s="198" customFormat="1" ht="12.75" hidden="1">
      <c r="A559" s="185" t="s">
        <v>391</v>
      </c>
      <c r="B559" s="185" t="s">
        <v>383</v>
      </c>
      <c r="C559" s="187">
        <v>42</v>
      </c>
      <c r="D559" s="187"/>
      <c r="E559" s="187">
        <v>100</v>
      </c>
      <c r="F559" s="209">
        <f t="shared" si="34"/>
        <v>0</v>
      </c>
      <c r="G559" s="209">
        <f t="shared" si="35"/>
        <v>4200</v>
      </c>
      <c r="H559" s="209">
        <f t="shared" si="36"/>
        <v>4200</v>
      </c>
      <c r="I559" s="186"/>
    </row>
    <row r="560" spans="1:9" s="198" customFormat="1" ht="25.5" hidden="1">
      <c r="A560" s="185" t="s">
        <v>392</v>
      </c>
      <c r="B560" s="185" t="s">
        <v>389</v>
      </c>
      <c r="C560" s="187">
        <v>4</v>
      </c>
      <c r="D560" s="187">
        <v>20000</v>
      </c>
      <c r="E560" s="187">
        <v>5000</v>
      </c>
      <c r="F560" s="209">
        <f t="shared" si="34"/>
        <v>80000</v>
      </c>
      <c r="G560" s="209">
        <f t="shared" si="35"/>
        <v>20000</v>
      </c>
      <c r="H560" s="209">
        <f t="shared" si="36"/>
        <v>100000</v>
      </c>
      <c r="I560" s="186"/>
    </row>
    <row r="561" spans="1:9" s="198" customFormat="1" ht="25.5" hidden="1">
      <c r="A561" s="185" t="s">
        <v>393</v>
      </c>
      <c r="B561" s="185" t="s">
        <v>389</v>
      </c>
      <c r="C561" s="187">
        <v>4</v>
      </c>
      <c r="D561" s="187"/>
      <c r="E561" s="187">
        <v>5000</v>
      </c>
      <c r="F561" s="209">
        <f t="shared" si="34"/>
        <v>0</v>
      </c>
      <c r="G561" s="209">
        <f t="shared" si="35"/>
        <v>20000</v>
      </c>
      <c r="H561" s="209">
        <f t="shared" si="36"/>
        <v>20000</v>
      </c>
      <c r="I561" s="186"/>
    </row>
    <row r="562" spans="1:9" s="198" customFormat="1" ht="12.75" hidden="1">
      <c r="A562" s="185" t="s">
        <v>394</v>
      </c>
      <c r="B562" s="185" t="s">
        <v>395</v>
      </c>
      <c r="C562" s="187">
        <v>1</v>
      </c>
      <c r="D562" s="187">
        <v>3260</v>
      </c>
      <c r="E562" s="187">
        <v>2410</v>
      </c>
      <c r="F562" s="209">
        <f t="shared" si="34"/>
        <v>3260</v>
      </c>
      <c r="G562" s="209">
        <f t="shared" si="35"/>
        <v>2410</v>
      </c>
      <c r="H562" s="209">
        <f t="shared" si="36"/>
        <v>5670</v>
      </c>
      <c r="I562" s="186"/>
    </row>
    <row r="563" spans="1:9" s="198" customFormat="1" ht="38.25" hidden="1">
      <c r="A563" s="185" t="s">
        <v>2</v>
      </c>
      <c r="B563" s="185" t="s">
        <v>395</v>
      </c>
      <c r="C563" s="187">
        <v>1</v>
      </c>
      <c r="D563" s="187"/>
      <c r="E563" s="187"/>
      <c r="F563" s="209">
        <f t="shared" si="34"/>
        <v>0</v>
      </c>
      <c r="G563" s="209">
        <f t="shared" si="35"/>
        <v>0</v>
      </c>
      <c r="H563" s="209">
        <f t="shared" si="36"/>
        <v>0</v>
      </c>
      <c r="I563" s="186"/>
    </row>
    <row r="564" spans="1:9" s="198" customFormat="1" ht="38.25" hidden="1">
      <c r="A564" s="185" t="s">
        <v>396</v>
      </c>
      <c r="B564" s="185" t="s">
        <v>370</v>
      </c>
      <c r="C564" s="187">
        <v>1</v>
      </c>
      <c r="D564" s="187"/>
      <c r="E564" s="187">
        <v>10000</v>
      </c>
      <c r="F564" s="209">
        <f t="shared" si="34"/>
        <v>0</v>
      </c>
      <c r="G564" s="209">
        <f t="shared" si="35"/>
        <v>10000</v>
      </c>
      <c r="H564" s="209">
        <f t="shared" si="36"/>
        <v>10000</v>
      </c>
      <c r="I564" s="186"/>
    </row>
    <row r="565" spans="1:9" s="198" customFormat="1" ht="25.5" hidden="1">
      <c r="A565" s="185" t="s">
        <v>431</v>
      </c>
      <c r="B565" s="185" t="s">
        <v>370</v>
      </c>
      <c r="C565" s="187">
        <v>1</v>
      </c>
      <c r="D565" s="187"/>
      <c r="E565" s="187">
        <v>10000</v>
      </c>
      <c r="F565" s="209">
        <f>D565*C565</f>
        <v>0</v>
      </c>
      <c r="G565" s="209">
        <f>C565*E565</f>
        <v>10000</v>
      </c>
      <c r="H565" s="209">
        <f>F565+G565</f>
        <v>10000</v>
      </c>
      <c r="I565" s="186"/>
    </row>
    <row r="566" spans="1:9" s="198" customFormat="1" ht="25.5" hidden="1">
      <c r="A566" s="185" t="s">
        <v>432</v>
      </c>
      <c r="B566" s="185" t="s">
        <v>370</v>
      </c>
      <c r="C566" s="187">
        <v>1</v>
      </c>
      <c r="D566" s="187"/>
      <c r="E566" s="187">
        <v>10000</v>
      </c>
      <c r="F566" s="209">
        <f t="shared" si="34"/>
        <v>0</v>
      </c>
      <c r="G566" s="209">
        <f t="shared" si="35"/>
        <v>10000</v>
      </c>
      <c r="H566" s="209">
        <f t="shared" si="36"/>
        <v>10000</v>
      </c>
      <c r="I566" s="186"/>
    </row>
    <row r="567" spans="1:9" s="198" customFormat="1" ht="12.75" hidden="1">
      <c r="A567" s="185" t="s">
        <v>397</v>
      </c>
      <c r="B567" s="185" t="s">
        <v>398</v>
      </c>
      <c r="C567" s="187">
        <v>4</v>
      </c>
      <c r="D567" s="187">
        <f>3*SUM(E539:E541)+SUM(D542:D543)+3*D544</f>
        <v>1035</v>
      </c>
      <c r="E567" s="187">
        <f>3*E538</f>
        <v>6000</v>
      </c>
      <c r="F567" s="209">
        <f>D567*C567</f>
        <v>4140</v>
      </c>
      <c r="G567" s="209">
        <f>C567*E567</f>
        <v>24000</v>
      </c>
      <c r="H567" s="209">
        <f>F567+G567</f>
        <v>28140</v>
      </c>
      <c r="I567" s="186"/>
    </row>
    <row r="568" spans="1:9" s="198" customFormat="1" ht="12.75" hidden="1">
      <c r="A568" s="188" t="s">
        <v>399</v>
      </c>
      <c r="B568" s="188"/>
      <c r="C568" s="189"/>
      <c r="D568" s="189"/>
      <c r="E568" s="189"/>
      <c r="F568" s="211">
        <f>SUM(F537:F567)</f>
        <v>96000</v>
      </c>
      <c r="G568" s="211">
        <f>SUM(G537:G567)</f>
        <v>289560</v>
      </c>
      <c r="H568" s="211">
        <f>SUM(H537:H567)</f>
        <v>385560</v>
      </c>
      <c r="I568" s="186"/>
    </row>
    <row r="569" s="198" customFormat="1" ht="12.75" hidden="1"/>
    <row r="570" s="198" customFormat="1" ht="12.75" hidden="1"/>
    <row r="571" s="198" customFormat="1" ht="12.75" hidden="1">
      <c r="A571" s="197" t="s">
        <v>400</v>
      </c>
    </row>
    <row r="572" spans="1:5" s="198" customFormat="1" ht="12.75" hidden="1">
      <c r="A572" s="182" t="s">
        <v>357</v>
      </c>
      <c r="B572" s="182" t="s">
        <v>231</v>
      </c>
      <c r="C572" s="182" t="s">
        <v>362</v>
      </c>
      <c r="D572" s="182" t="s">
        <v>4</v>
      </c>
      <c r="E572" s="183" t="s">
        <v>363</v>
      </c>
    </row>
    <row r="573" spans="1:9" s="198" customFormat="1" ht="12.75" hidden="1">
      <c r="A573" s="212" t="s">
        <v>322</v>
      </c>
      <c r="B573" s="209"/>
      <c r="C573" s="209"/>
      <c r="D573" s="209"/>
      <c r="E573" s="213"/>
      <c r="F573" s="217"/>
      <c r="G573" s="217"/>
      <c r="H573" s="217"/>
      <c r="I573" s="217"/>
    </row>
    <row r="574" spans="1:5" s="198" customFormat="1" ht="12.75" hidden="1">
      <c r="A574" s="212" t="s">
        <v>331</v>
      </c>
      <c r="B574" s="209"/>
      <c r="C574" s="209"/>
      <c r="D574" s="209"/>
      <c r="E574" s="213"/>
    </row>
    <row r="575" spans="1:5" s="198" customFormat="1" ht="12.75" hidden="1">
      <c r="A575" s="212" t="s">
        <v>332</v>
      </c>
      <c r="B575" s="209"/>
      <c r="C575" s="209"/>
      <c r="D575" s="209"/>
      <c r="E575" s="213"/>
    </row>
    <row r="576" spans="1:5" s="198" customFormat="1" ht="12.75" hidden="1">
      <c r="A576" s="185" t="s">
        <v>333</v>
      </c>
      <c r="B576" s="187">
        <f>'DP3'!G136</f>
        <v>44000</v>
      </c>
      <c r="C576" s="187">
        <f>'DP3'!H136</f>
        <v>41880</v>
      </c>
      <c r="D576" s="187">
        <f>B576+C576</f>
        <v>85880</v>
      </c>
      <c r="E576" s="186"/>
    </row>
    <row r="577" spans="1:5" s="198" customFormat="1" ht="12.75" hidden="1">
      <c r="A577" s="212" t="s">
        <v>325</v>
      </c>
      <c r="B577" s="209"/>
      <c r="C577" s="209"/>
      <c r="D577" s="209"/>
      <c r="E577" s="213"/>
    </row>
    <row r="578" spans="1:5" s="198" customFormat="1" ht="12.75" hidden="1">
      <c r="A578" s="212" t="s">
        <v>321</v>
      </c>
      <c r="B578" s="209"/>
      <c r="C578" s="209"/>
      <c r="D578" s="209"/>
      <c r="E578" s="213"/>
    </row>
    <row r="579" spans="1:5" s="198" customFormat="1" ht="12.75" hidden="1">
      <c r="A579" s="214" t="s">
        <v>399</v>
      </c>
      <c r="B579" s="211">
        <f>SUM(B573:B578)</f>
        <v>44000</v>
      </c>
      <c r="C579" s="211">
        <f>SUM(C573:C578)</f>
        <v>41880</v>
      </c>
      <c r="D579" s="211">
        <f>SUM(D573:D578)</f>
        <v>85880</v>
      </c>
      <c r="E579" s="213"/>
    </row>
    <row r="580" spans="1:5" s="198" customFormat="1" ht="12.75" hidden="1">
      <c r="A580" s="190"/>
      <c r="B580" s="191"/>
      <c r="C580" s="191"/>
      <c r="D580" s="191"/>
      <c r="E580" s="199"/>
    </row>
    <row r="581" s="198" customFormat="1" ht="12.75" hidden="1"/>
    <row r="582" spans="1:2" s="198" customFormat="1" ht="12.75" hidden="1">
      <c r="A582" s="197" t="s">
        <v>401</v>
      </c>
      <c r="B582" s="197"/>
    </row>
    <row r="583" spans="1:9" s="198" customFormat="1" ht="12.75" hidden="1">
      <c r="A583" s="182" t="s">
        <v>402</v>
      </c>
      <c r="B583" s="182" t="s">
        <v>358</v>
      </c>
      <c r="C583" s="182" t="s">
        <v>359</v>
      </c>
      <c r="D583" s="182" t="s">
        <v>360</v>
      </c>
      <c r="E583" s="182" t="s">
        <v>361</v>
      </c>
      <c r="F583" s="182" t="s">
        <v>231</v>
      </c>
      <c r="G583" s="182" t="s">
        <v>362</v>
      </c>
      <c r="H583" s="182" t="s">
        <v>4</v>
      </c>
      <c r="I583" s="183" t="s">
        <v>363</v>
      </c>
    </row>
    <row r="584" spans="1:9" s="198" customFormat="1" ht="12.75" hidden="1">
      <c r="A584" s="185" t="s">
        <v>403</v>
      </c>
      <c r="B584" s="185" t="s">
        <v>383</v>
      </c>
      <c r="C584" s="187">
        <v>48</v>
      </c>
      <c r="D584" s="187"/>
      <c r="E584" s="187">
        <v>3000</v>
      </c>
      <c r="F584" s="187">
        <f>D584*C584</f>
        <v>0</v>
      </c>
      <c r="G584" s="187">
        <f>C584*E584</f>
        <v>144000</v>
      </c>
      <c r="H584" s="187">
        <f>F584+G584</f>
        <v>144000</v>
      </c>
      <c r="I584" s="186"/>
    </row>
    <row r="585" spans="1:9" s="198" customFormat="1" ht="12.75" hidden="1">
      <c r="A585" s="185" t="s">
        <v>433</v>
      </c>
      <c r="B585" s="185" t="s">
        <v>368</v>
      </c>
      <c r="C585" s="187">
        <v>4</v>
      </c>
      <c r="D585" s="187"/>
      <c r="E585" s="187">
        <f>2000+800</f>
        <v>2800</v>
      </c>
      <c r="F585" s="187">
        <f>D585*C585</f>
        <v>0</v>
      </c>
      <c r="G585" s="187">
        <f>C585*E585</f>
        <v>11200</v>
      </c>
      <c r="H585" s="187">
        <f>F585+G585</f>
        <v>11200</v>
      </c>
      <c r="I585" s="186"/>
    </row>
    <row r="586" spans="1:9" s="198" customFormat="1" ht="25.5" hidden="1">
      <c r="A586" s="185" t="s">
        <v>387</v>
      </c>
      <c r="B586" s="185" t="s">
        <v>383</v>
      </c>
      <c r="C586" s="187">
        <f>C584</f>
        <v>48</v>
      </c>
      <c r="D586" s="187"/>
      <c r="E586" s="187">
        <f>400+70+50</f>
        <v>520</v>
      </c>
      <c r="F586" s="187">
        <f>D586*C586</f>
        <v>0</v>
      </c>
      <c r="G586" s="187">
        <f>C586*E586</f>
        <v>24960</v>
      </c>
      <c r="H586" s="187">
        <f>F586+G586</f>
        <v>24960</v>
      </c>
      <c r="I586" s="186"/>
    </row>
    <row r="587" spans="1:9" s="198" customFormat="1" ht="12.75" hidden="1">
      <c r="A587" s="185" t="s">
        <v>434</v>
      </c>
      <c r="B587" s="185" t="s">
        <v>383</v>
      </c>
      <c r="C587" s="187">
        <f>C586</f>
        <v>48</v>
      </c>
      <c r="D587" s="187"/>
      <c r="E587" s="187">
        <f>400+50</f>
        <v>450</v>
      </c>
      <c r="F587" s="187">
        <f>D587*C587</f>
        <v>0</v>
      </c>
      <c r="G587" s="187">
        <f>C587*E587</f>
        <v>21600</v>
      </c>
      <c r="H587" s="187">
        <f>F587+G587</f>
        <v>21600</v>
      </c>
      <c r="I587" s="186"/>
    </row>
    <row r="588" spans="1:9" s="198" customFormat="1" ht="12.75" hidden="1">
      <c r="A588" s="185" t="s">
        <v>391</v>
      </c>
      <c r="B588" s="185" t="s">
        <v>383</v>
      </c>
      <c r="C588" s="187">
        <f>C587</f>
        <v>48</v>
      </c>
      <c r="D588" s="187"/>
      <c r="E588" s="187">
        <f>150+200</f>
        <v>350</v>
      </c>
      <c r="F588" s="187">
        <f>D588*C588</f>
        <v>0</v>
      </c>
      <c r="G588" s="187">
        <f>C588*E588</f>
        <v>16800</v>
      </c>
      <c r="H588" s="187">
        <f>F588+G588</f>
        <v>16800</v>
      </c>
      <c r="I588" s="186"/>
    </row>
    <row r="589" spans="1:9" s="198" customFormat="1" ht="12.75" hidden="1">
      <c r="A589" s="188" t="s">
        <v>399</v>
      </c>
      <c r="B589" s="188"/>
      <c r="C589" s="189"/>
      <c r="D589" s="189"/>
      <c r="E589" s="189"/>
      <c r="F589" s="189">
        <f>SUM(F584:F588)</f>
        <v>0</v>
      </c>
      <c r="G589" s="189">
        <f>SUM(G584:G588)</f>
        <v>218560</v>
      </c>
      <c r="H589" s="189">
        <f>SUM(H584:H588)</f>
        <v>218560</v>
      </c>
      <c r="I589" s="186"/>
    </row>
    <row r="590" spans="1:9" s="198" customFormat="1" ht="12.75" hidden="1">
      <c r="A590" s="190"/>
      <c r="B590" s="190"/>
      <c r="C590" s="191"/>
      <c r="D590" s="191"/>
      <c r="E590" s="191"/>
      <c r="F590" s="191"/>
      <c r="G590" s="191"/>
      <c r="H590" s="191"/>
      <c r="I590" s="199"/>
    </row>
    <row r="591" spans="1:9" s="198" customFormat="1" ht="12.75" hidden="1">
      <c r="A591" s="190"/>
      <c r="B591" s="190"/>
      <c r="C591" s="191"/>
      <c r="D591" s="191"/>
      <c r="E591" s="191"/>
      <c r="F591" s="191"/>
      <c r="G591" s="191"/>
      <c r="H591" s="191"/>
      <c r="I591" s="199"/>
    </row>
    <row r="592" s="198" customFormat="1" ht="12.75" hidden="1">
      <c r="A592" s="197" t="s">
        <v>404</v>
      </c>
    </row>
    <row r="593" spans="1:5" s="198" customFormat="1" ht="12.75" hidden="1">
      <c r="A593" s="182" t="s">
        <v>357</v>
      </c>
      <c r="B593" s="182" t="s">
        <v>231</v>
      </c>
      <c r="C593" s="182" t="s">
        <v>362</v>
      </c>
      <c r="D593" s="182" t="s">
        <v>4</v>
      </c>
      <c r="E593" s="183" t="s">
        <v>363</v>
      </c>
    </row>
    <row r="594" spans="1:5" s="198" customFormat="1" ht="12.75" hidden="1">
      <c r="A594" s="185" t="s">
        <v>322</v>
      </c>
      <c r="B594" s="187"/>
      <c r="C594" s="187"/>
      <c r="D594" s="187"/>
      <c r="E594" s="186"/>
    </row>
    <row r="595" spans="1:5" s="198" customFormat="1" ht="12.75" hidden="1">
      <c r="A595" s="185" t="s">
        <v>331</v>
      </c>
      <c r="B595" s="187"/>
      <c r="C595" s="187"/>
      <c r="D595" s="187"/>
      <c r="E595" s="186"/>
    </row>
    <row r="596" spans="1:5" s="198" customFormat="1" ht="12.75" hidden="1">
      <c r="A596" s="185" t="s">
        <v>332</v>
      </c>
      <c r="B596" s="187"/>
      <c r="C596" s="187"/>
      <c r="D596" s="187"/>
      <c r="E596" s="186"/>
    </row>
    <row r="597" spans="1:5" s="198" customFormat="1" ht="12.75" hidden="1">
      <c r="A597" s="185" t="s">
        <v>333</v>
      </c>
      <c r="B597" s="187">
        <f>F568+B576+F589</f>
        <v>140000</v>
      </c>
      <c r="C597" s="187">
        <f>G568+C576+G589</f>
        <v>550000</v>
      </c>
      <c r="D597" s="187">
        <f>B597+C597</f>
        <v>690000</v>
      </c>
      <c r="E597" s="186"/>
    </row>
    <row r="598" spans="1:5" s="198" customFormat="1" ht="12.75" hidden="1">
      <c r="A598" s="185" t="s">
        <v>325</v>
      </c>
      <c r="B598" s="187"/>
      <c r="C598" s="187"/>
      <c r="D598" s="187"/>
      <c r="E598" s="186"/>
    </row>
    <row r="599" spans="1:5" s="198" customFormat="1" ht="12.75" hidden="1">
      <c r="A599" s="185" t="s">
        <v>321</v>
      </c>
      <c r="B599" s="187"/>
      <c r="C599" s="187"/>
      <c r="D599" s="187"/>
      <c r="E599" s="186"/>
    </row>
    <row r="600" spans="1:5" s="198" customFormat="1" ht="12.75" hidden="1">
      <c r="A600" s="188" t="s">
        <v>399</v>
      </c>
      <c r="B600" s="189">
        <f>SUM(B594:B599)</f>
        <v>140000</v>
      </c>
      <c r="C600" s="189">
        <f>SUM(C594:C599)</f>
        <v>550000</v>
      </c>
      <c r="D600" s="189">
        <f>SUM(D594:D599)</f>
        <v>690000</v>
      </c>
      <c r="E600" s="186"/>
    </row>
    <row r="601" spans="1:9" s="198" customFormat="1" ht="12.75" hidden="1">
      <c r="A601" s="190"/>
      <c r="B601" s="190"/>
      <c r="C601" s="191"/>
      <c r="D601" s="191"/>
      <c r="E601" s="191"/>
      <c r="F601" s="191"/>
      <c r="G601" s="191"/>
      <c r="H601" s="191"/>
      <c r="I601" s="199"/>
    </row>
    <row r="602" s="198" customFormat="1" ht="12.75" hidden="1"/>
    <row r="603" s="198" customFormat="1" ht="12.75" hidden="1"/>
    <row r="604" s="198" customFormat="1" ht="12.75" hidden="1"/>
    <row r="605" s="198" customFormat="1" ht="12.75" hidden="1"/>
    <row r="606" s="198" customFormat="1" ht="12.75" hidden="1"/>
    <row r="607" s="198" customFormat="1" ht="12.75" hidden="1"/>
    <row r="608" s="198" customFormat="1" ht="12.75" hidden="1"/>
    <row r="609" s="198" customFormat="1" ht="12.75" hidden="1"/>
    <row r="610" spans="1:2" s="198" customFormat="1" ht="24.75" hidden="1">
      <c r="A610" s="192" t="s">
        <v>357</v>
      </c>
      <c r="B610" s="183" t="s">
        <v>405</v>
      </c>
    </row>
    <row r="611" spans="1:2" s="198" customFormat="1" ht="12.75" hidden="1">
      <c r="A611" s="193" t="s">
        <v>365</v>
      </c>
      <c r="B611" s="194"/>
    </row>
    <row r="612" spans="1:2" s="198" customFormat="1" ht="12.75" hidden="1">
      <c r="A612" s="185" t="s">
        <v>406</v>
      </c>
      <c r="B612" s="194">
        <v>1</v>
      </c>
    </row>
    <row r="613" spans="1:2" s="198" customFormat="1" ht="12.75" hidden="1">
      <c r="A613" s="185" t="s">
        <v>407</v>
      </c>
      <c r="B613" s="194">
        <v>20</v>
      </c>
    </row>
    <row r="614" spans="1:2" s="198" customFormat="1" ht="12.75" hidden="1">
      <c r="A614" s="185" t="s">
        <v>408</v>
      </c>
      <c r="B614" s="194">
        <v>20</v>
      </c>
    </row>
    <row r="615" spans="1:2" s="198" customFormat="1" ht="12.75" hidden="1">
      <c r="A615" s="185" t="s">
        <v>409</v>
      </c>
      <c r="B615" s="194">
        <v>100</v>
      </c>
    </row>
    <row r="616" spans="1:2" s="198" customFormat="1" ht="12.75" hidden="1">
      <c r="A616" s="195" t="s">
        <v>410</v>
      </c>
      <c r="B616" s="194">
        <f>B612*B613*B615</f>
        <v>2000</v>
      </c>
    </row>
    <row r="617" spans="1:2" s="198" customFormat="1" ht="12.75" hidden="1">
      <c r="A617" s="195" t="s">
        <v>411</v>
      </c>
      <c r="B617" s="194">
        <f>B612*B613*B614</f>
        <v>400</v>
      </c>
    </row>
    <row r="618" spans="1:2" s="198" customFormat="1" ht="12.75" hidden="1">
      <c r="A618" s="193" t="s">
        <v>412</v>
      </c>
      <c r="B618" s="196"/>
    </row>
    <row r="619" spans="1:2" s="198" customFormat="1" ht="12.75" hidden="1">
      <c r="A619" s="185" t="s">
        <v>413</v>
      </c>
      <c r="B619" s="194">
        <v>0</v>
      </c>
    </row>
    <row r="620" spans="1:2" s="198" customFormat="1" ht="12.75" hidden="1">
      <c r="A620" s="185" t="s">
        <v>369</v>
      </c>
      <c r="B620" s="194"/>
    </row>
    <row r="621" spans="1:2" s="198" customFormat="1" ht="25.5" hidden="1">
      <c r="A621" s="185" t="s">
        <v>371</v>
      </c>
      <c r="B621" s="194"/>
    </row>
    <row r="622" spans="1:2" s="198" customFormat="1" ht="12.75" hidden="1">
      <c r="A622" s="195" t="s">
        <v>414</v>
      </c>
      <c r="B622" s="194">
        <f>SUM(B619:B621)</f>
        <v>0</v>
      </c>
    </row>
    <row r="623" spans="1:2" s="198" customFormat="1" ht="12.75" hidden="1">
      <c r="A623" s="193" t="s">
        <v>415</v>
      </c>
      <c r="B623" s="194"/>
    </row>
    <row r="624" spans="1:2" s="198" customFormat="1" ht="12.75" hidden="1">
      <c r="A624" s="185" t="s">
        <v>372</v>
      </c>
      <c r="B624" s="194"/>
    </row>
    <row r="625" spans="1:2" s="198" customFormat="1" ht="25.5" hidden="1">
      <c r="A625" s="185" t="s">
        <v>373</v>
      </c>
      <c r="B625" s="194"/>
    </row>
    <row r="626" spans="1:2" s="198" customFormat="1" ht="12.75" hidden="1">
      <c r="A626" s="185" t="s">
        <v>374</v>
      </c>
      <c r="B626" s="194"/>
    </row>
    <row r="627" spans="1:2" s="198" customFormat="1" ht="12.75" hidden="1">
      <c r="A627" s="195" t="s">
        <v>416</v>
      </c>
      <c r="B627" s="194">
        <f>SUM(B624:B626)</f>
        <v>0</v>
      </c>
    </row>
    <row r="628" spans="1:2" s="198" customFormat="1" ht="12.75" hidden="1">
      <c r="A628" s="193" t="s">
        <v>417</v>
      </c>
      <c r="B628" s="200">
        <f>B616+B622</f>
        <v>2000</v>
      </c>
    </row>
    <row r="629" spans="1:2" s="198" customFormat="1" ht="12.75" hidden="1">
      <c r="A629" s="193" t="s">
        <v>418</v>
      </c>
      <c r="B629" s="200">
        <f>B617+B627</f>
        <v>400</v>
      </c>
    </row>
    <row r="630" spans="1:2" s="198" customFormat="1" ht="12.75" hidden="1">
      <c r="A630" s="188" t="s">
        <v>399</v>
      </c>
      <c r="B630" s="200">
        <f>B628+B629</f>
        <v>2400</v>
      </c>
    </row>
    <row r="631" s="198" customFormat="1" ht="12.75" hidden="1"/>
    <row r="632" s="198" customFormat="1" ht="12.75" hidden="1"/>
    <row r="633" spans="1:6" s="198" customFormat="1" ht="12.75" hidden="1">
      <c r="A633" s="204"/>
      <c r="B633" s="204" t="s">
        <v>429</v>
      </c>
      <c r="C633" s="204" t="s">
        <v>430</v>
      </c>
      <c r="D633" s="204"/>
      <c r="E633" s="201"/>
      <c r="F633" s="201"/>
    </row>
    <row r="634" spans="1:6" s="198" customFormat="1" ht="12.75" hidden="1">
      <c r="A634" s="205" t="s">
        <v>109</v>
      </c>
      <c r="B634" s="204"/>
      <c r="C634" s="204"/>
      <c r="D634" s="204"/>
      <c r="E634" s="201"/>
      <c r="F634" s="201"/>
    </row>
    <row r="635" spans="1:4" s="198" customFormat="1" ht="12.75" hidden="1">
      <c r="A635" s="206" t="s">
        <v>385</v>
      </c>
      <c r="B635" s="208">
        <f>F554</f>
        <v>0</v>
      </c>
      <c r="C635" s="208">
        <f>G554</f>
        <v>24000</v>
      </c>
      <c r="D635" s="204"/>
    </row>
    <row r="636" spans="1:4" s="198" customFormat="1" ht="12.75" hidden="1">
      <c r="A636" s="206" t="s">
        <v>386</v>
      </c>
      <c r="B636" s="208">
        <f>F555</f>
        <v>0</v>
      </c>
      <c r="C636" s="208">
        <f>G555</f>
        <v>24000</v>
      </c>
      <c r="D636" s="204"/>
    </row>
    <row r="637" spans="1:4" s="198" customFormat="1" ht="12.75" hidden="1">
      <c r="A637" s="207" t="s">
        <v>108</v>
      </c>
      <c r="B637" s="204"/>
      <c r="C637" s="204"/>
      <c r="D637" s="204"/>
    </row>
    <row r="638" spans="1:4" s="198" customFormat="1" ht="12.75" hidden="1">
      <c r="A638" s="206" t="s">
        <v>442</v>
      </c>
      <c r="B638" s="208">
        <f>F560</f>
        <v>80000</v>
      </c>
      <c r="C638" s="208">
        <f>G560</f>
        <v>20000</v>
      </c>
      <c r="D638" s="204"/>
    </row>
    <row r="639" spans="1:4" s="198" customFormat="1" ht="12.75" hidden="1">
      <c r="A639" s="206" t="s">
        <v>443</v>
      </c>
      <c r="B639" s="208">
        <f>F565</f>
        <v>0</v>
      </c>
      <c r="C639" s="208">
        <f>G565</f>
        <v>10000</v>
      </c>
      <c r="D639" s="204"/>
    </row>
    <row r="640" spans="1:4" s="198" customFormat="1" ht="12.75" hidden="1">
      <c r="A640" s="206" t="s">
        <v>444</v>
      </c>
      <c r="B640" s="208">
        <f>F566</f>
        <v>0</v>
      </c>
      <c r="C640" s="208">
        <f>G566</f>
        <v>10000</v>
      </c>
      <c r="D640" s="204"/>
    </row>
    <row r="641" spans="1:4" s="198" customFormat="1" ht="12.75" hidden="1">
      <c r="A641" s="206" t="s">
        <v>445</v>
      </c>
      <c r="B641" s="208">
        <f>F564</f>
        <v>0</v>
      </c>
      <c r="C641" s="208">
        <f>G564</f>
        <v>10000</v>
      </c>
      <c r="D641" s="204"/>
    </row>
    <row r="642" spans="1:4" s="198" customFormat="1" ht="12.75" hidden="1">
      <c r="A642" s="206" t="s">
        <v>446</v>
      </c>
      <c r="B642" s="208">
        <f>B579</f>
        <v>44000</v>
      </c>
      <c r="C642" s="208">
        <f>C579</f>
        <v>41880</v>
      </c>
      <c r="D642" s="204"/>
    </row>
    <row r="643" spans="1:4" s="198" customFormat="1" ht="12.75" hidden="1">
      <c r="A643" s="207" t="s">
        <v>95</v>
      </c>
      <c r="B643" s="204"/>
      <c r="C643" s="204"/>
      <c r="D643" s="204"/>
    </row>
    <row r="644" spans="1:4" s="198" customFormat="1" ht="25.5" hidden="1">
      <c r="A644" s="206" t="s">
        <v>387</v>
      </c>
      <c r="B644" s="208">
        <f>F556+F586</f>
        <v>0</v>
      </c>
      <c r="C644" s="208">
        <f>G556+G586</f>
        <v>32160</v>
      </c>
      <c r="D644" s="204"/>
    </row>
    <row r="645" spans="1:4" s="198" customFormat="1" ht="12.75" hidden="1">
      <c r="A645" s="207" t="s">
        <v>91</v>
      </c>
      <c r="B645" s="204"/>
      <c r="C645" s="204"/>
      <c r="D645" s="204"/>
    </row>
    <row r="646" spans="1:4" s="198" customFormat="1" ht="12.75" hidden="1">
      <c r="A646" s="206" t="s">
        <v>427</v>
      </c>
      <c r="B646" s="208">
        <f>SUM(F547:F549)</f>
        <v>0</v>
      </c>
      <c r="C646" s="208">
        <f>SUM(G547:G549)</f>
        <v>17000</v>
      </c>
      <c r="D646" s="204"/>
    </row>
    <row r="647" spans="1:4" s="198" customFormat="1" ht="12.75" hidden="1">
      <c r="A647" s="207" t="s">
        <v>105</v>
      </c>
      <c r="D647" s="204"/>
    </row>
    <row r="648" spans="1:4" s="198" customFormat="1" ht="38.25" hidden="1">
      <c r="A648" s="206" t="s">
        <v>205</v>
      </c>
      <c r="B648" s="208">
        <f>F561</f>
        <v>0</v>
      </c>
      <c r="C648" s="208">
        <f>G561</f>
        <v>20000</v>
      </c>
      <c r="D648" s="204"/>
    </row>
    <row r="649" spans="1:4" s="198" customFormat="1" ht="12.75" hidden="1">
      <c r="A649" s="206" t="s">
        <v>397</v>
      </c>
      <c r="B649" s="208">
        <f>F567</f>
        <v>4140</v>
      </c>
      <c r="C649" s="208">
        <f>G567</f>
        <v>24000</v>
      </c>
      <c r="D649" s="204"/>
    </row>
    <row r="650" spans="1:4" s="198" customFormat="1" ht="12.75" hidden="1">
      <c r="A650" s="207" t="s">
        <v>94</v>
      </c>
      <c r="B650" s="204"/>
      <c r="C650" s="204"/>
      <c r="D650" s="204"/>
    </row>
    <row r="651" spans="1:4" s="198" customFormat="1" ht="12.75" hidden="1">
      <c r="A651" s="206" t="s">
        <v>375</v>
      </c>
      <c r="B651" s="208">
        <f>F545</f>
        <v>600</v>
      </c>
      <c r="C651" s="208">
        <f>G545</f>
        <v>3000</v>
      </c>
      <c r="D651" s="204"/>
    </row>
    <row r="652" spans="1:4" s="198" customFormat="1" ht="12.75" hidden="1">
      <c r="A652" s="206" t="s">
        <v>453</v>
      </c>
      <c r="B652" s="208">
        <f>F562</f>
        <v>3260</v>
      </c>
      <c r="C652" s="208">
        <f>G562</f>
        <v>2410</v>
      </c>
      <c r="D652" s="204"/>
    </row>
    <row r="653" spans="1:4" s="198" customFormat="1" ht="12.75" hidden="1">
      <c r="A653" s="206" t="s">
        <v>454</v>
      </c>
      <c r="B653" s="208">
        <f>F563</f>
        <v>0</v>
      </c>
      <c r="C653" s="208">
        <f>G563</f>
        <v>0</v>
      </c>
      <c r="D653" s="204"/>
    </row>
    <row r="654" spans="1:4" s="198" customFormat="1" ht="12.75" hidden="1">
      <c r="A654" s="206" t="s">
        <v>426</v>
      </c>
      <c r="B654" s="208">
        <f>SUM(F538:F544)</f>
        <v>8000</v>
      </c>
      <c r="C654" s="208">
        <f>SUM(G538:G544)</f>
        <v>45150</v>
      </c>
      <c r="D654" s="204"/>
    </row>
    <row r="655" spans="1:4" s="198" customFormat="1" ht="12.75" hidden="1">
      <c r="A655" s="207" t="s">
        <v>103</v>
      </c>
      <c r="B655" s="204"/>
      <c r="C655" s="204"/>
      <c r="D655" s="204"/>
    </row>
    <row r="656" spans="1:4" s="198" customFormat="1" ht="12.75" hidden="1">
      <c r="A656" s="206" t="s">
        <v>58</v>
      </c>
      <c r="B656" s="208">
        <f>F553</f>
        <v>0</v>
      </c>
      <c r="C656" s="208">
        <f>G553</f>
        <v>6000</v>
      </c>
      <c r="D656" s="204"/>
    </row>
    <row r="657" spans="1:4" s="198" customFormat="1" ht="12.75" hidden="1">
      <c r="A657" s="207" t="s">
        <v>90</v>
      </c>
      <c r="B657" s="204"/>
      <c r="C657" s="204"/>
      <c r="D657" s="204"/>
    </row>
    <row r="658" spans="1:4" s="198" customFormat="1" ht="12.75" hidden="1">
      <c r="A658" s="206" t="s">
        <v>354</v>
      </c>
      <c r="B658" s="208">
        <f>F552+F585</f>
        <v>0</v>
      </c>
      <c r="C658" s="208">
        <f>G552+G585</f>
        <v>20200</v>
      </c>
      <c r="D658" s="204"/>
    </row>
    <row r="659" spans="1:4" s="198" customFormat="1" ht="12.75" hidden="1">
      <c r="A659" s="206" t="s">
        <v>388</v>
      </c>
      <c r="B659" s="208">
        <f>F557</f>
        <v>0</v>
      </c>
      <c r="C659" s="208">
        <f>G557</f>
        <v>32000</v>
      </c>
      <c r="D659" s="204"/>
    </row>
    <row r="660" spans="1:4" s="198" customFormat="1" ht="12.75" hidden="1">
      <c r="A660" s="207" t="s">
        <v>122</v>
      </c>
      <c r="B660" s="204"/>
      <c r="C660" s="204"/>
      <c r="D660" s="204"/>
    </row>
    <row r="661" spans="1:4" s="198" customFormat="1" ht="12.75" hidden="1">
      <c r="A661" s="206" t="s">
        <v>390</v>
      </c>
      <c r="B661" s="208">
        <f>F558+F587</f>
        <v>0</v>
      </c>
      <c r="C661" s="208">
        <f>G558+G587</f>
        <v>30000</v>
      </c>
      <c r="D661" s="204"/>
    </row>
    <row r="662" spans="1:4" s="198" customFormat="1" ht="12.75" hidden="1">
      <c r="A662" s="206" t="s">
        <v>403</v>
      </c>
      <c r="B662" s="208">
        <f>F551+F584</f>
        <v>0</v>
      </c>
      <c r="C662" s="208">
        <f>G551+G584</f>
        <v>157200</v>
      </c>
      <c r="D662" s="204"/>
    </row>
    <row r="663" spans="1:4" s="198" customFormat="1" ht="12.75" hidden="1">
      <c r="A663" s="207" t="s">
        <v>124</v>
      </c>
      <c r="B663" s="204"/>
      <c r="C663" s="204"/>
      <c r="D663" s="204"/>
    </row>
    <row r="664" spans="1:4" s="198" customFormat="1" ht="12.75" hidden="1">
      <c r="A664" s="206" t="s">
        <v>391</v>
      </c>
      <c r="B664" s="208">
        <f>F559+F588</f>
        <v>0</v>
      </c>
      <c r="C664" s="208">
        <f>G559+G588</f>
        <v>21000</v>
      </c>
      <c r="D664" s="204"/>
    </row>
    <row r="665" spans="1:4" s="198" customFormat="1" ht="12.75" hidden="1">
      <c r="A665" s="206"/>
      <c r="B665" s="204">
        <f>SUM(B634:B664)</f>
        <v>140000</v>
      </c>
      <c r="C665" s="204">
        <f>SUM(C634:C664)</f>
        <v>550000</v>
      </c>
      <c r="D665" s="204"/>
    </row>
    <row r="666" spans="1:4" s="198" customFormat="1" ht="12.75">
      <c r="A666" s="206"/>
      <c r="B666" s="204"/>
      <c r="C666" s="204"/>
      <c r="D666" s="204"/>
    </row>
    <row r="667" spans="1:4" s="198" customFormat="1" ht="12.75">
      <c r="A667" s="206" t="s">
        <v>325</v>
      </c>
      <c r="B667" s="204"/>
      <c r="C667" s="204"/>
      <c r="D667" s="204"/>
    </row>
    <row r="668" spans="1:9" s="198" customFormat="1" ht="12.75" hidden="1">
      <c r="A668" s="182" t="s">
        <v>357</v>
      </c>
      <c r="B668" s="182" t="s">
        <v>358</v>
      </c>
      <c r="C668" s="182" t="s">
        <v>359</v>
      </c>
      <c r="D668" s="182" t="s">
        <v>360</v>
      </c>
      <c r="E668" s="182" t="s">
        <v>361</v>
      </c>
      <c r="F668" s="182" t="s">
        <v>231</v>
      </c>
      <c r="G668" s="182" t="s">
        <v>362</v>
      </c>
      <c r="H668" s="182" t="s">
        <v>4</v>
      </c>
      <c r="I668" s="183" t="s">
        <v>363</v>
      </c>
    </row>
    <row r="669" spans="1:9" s="198" customFormat="1" ht="12.75" hidden="1">
      <c r="A669" s="184" t="s">
        <v>364</v>
      </c>
      <c r="B669" s="185"/>
      <c r="C669" s="186"/>
      <c r="D669" s="186"/>
      <c r="E669" s="186"/>
      <c r="F669" s="186"/>
      <c r="G669" s="186"/>
      <c r="H669" s="186"/>
      <c r="I669" s="186"/>
    </row>
    <row r="670" spans="1:9" s="198" customFormat="1" ht="12.75" hidden="1">
      <c r="A670" s="185" t="s">
        <v>365</v>
      </c>
      <c r="B670" s="185" t="s">
        <v>366</v>
      </c>
      <c r="C670" s="187">
        <v>25</v>
      </c>
      <c r="D670" s="187">
        <f>B749</f>
        <v>625</v>
      </c>
      <c r="E670" s="187">
        <f>B748</f>
        <v>2250</v>
      </c>
      <c r="F670" s="209">
        <f aca="true" t="shared" si="37" ref="F670:F677">D670*C670</f>
        <v>15625</v>
      </c>
      <c r="G670" s="209"/>
      <c r="H670" s="209">
        <f aca="true" t="shared" si="38" ref="H670:H677">F670+G670</f>
        <v>15625</v>
      </c>
      <c r="I670" s="186"/>
    </row>
    <row r="671" spans="1:9" s="198" customFormat="1" ht="12.75" hidden="1">
      <c r="A671" s="185" t="s">
        <v>367</v>
      </c>
      <c r="B671" s="185" t="s">
        <v>368</v>
      </c>
      <c r="C671" s="187">
        <f>C670</f>
        <v>25</v>
      </c>
      <c r="D671" s="187"/>
      <c r="E671" s="187">
        <v>120</v>
      </c>
      <c r="F671" s="209">
        <f t="shared" si="37"/>
        <v>0</v>
      </c>
      <c r="G671" s="209"/>
      <c r="H671" s="209">
        <f t="shared" si="38"/>
        <v>0</v>
      </c>
      <c r="I671" s="186"/>
    </row>
    <row r="672" spans="1:9" s="198" customFormat="1" ht="12.75" hidden="1">
      <c r="A672" s="185" t="s">
        <v>369</v>
      </c>
      <c r="B672" s="185" t="s">
        <v>370</v>
      </c>
      <c r="C672" s="187">
        <f>C670</f>
        <v>25</v>
      </c>
      <c r="D672" s="187"/>
      <c r="E672" s="187">
        <v>50</v>
      </c>
      <c r="F672" s="209">
        <f t="shared" si="37"/>
        <v>0</v>
      </c>
      <c r="G672" s="209"/>
      <c r="H672" s="209">
        <f t="shared" si="38"/>
        <v>0</v>
      </c>
      <c r="I672" s="186"/>
    </row>
    <row r="673" spans="1:9" s="198" customFormat="1" ht="25.5" hidden="1">
      <c r="A673" s="185" t="s">
        <v>371</v>
      </c>
      <c r="B673" s="185" t="s">
        <v>370</v>
      </c>
      <c r="C673" s="187">
        <v>20</v>
      </c>
      <c r="D673" s="187"/>
      <c r="E673" s="187">
        <v>175</v>
      </c>
      <c r="F673" s="209">
        <f t="shared" si="37"/>
        <v>0</v>
      </c>
      <c r="G673" s="209"/>
      <c r="H673" s="209">
        <f t="shared" si="38"/>
        <v>0</v>
      </c>
      <c r="I673" s="186"/>
    </row>
    <row r="674" spans="1:9" s="198" customFormat="1" ht="12.75" hidden="1">
      <c r="A674" s="185" t="s">
        <v>372</v>
      </c>
      <c r="B674" s="185" t="s">
        <v>370</v>
      </c>
      <c r="C674" s="187">
        <f>C673</f>
        <v>20</v>
      </c>
      <c r="D674" s="187">
        <v>200</v>
      </c>
      <c r="E674" s="187"/>
      <c r="F674" s="209">
        <f t="shared" si="37"/>
        <v>4000</v>
      </c>
      <c r="G674" s="209"/>
      <c r="H674" s="209">
        <f t="shared" si="38"/>
        <v>4000</v>
      </c>
      <c r="I674" s="186"/>
    </row>
    <row r="675" spans="1:9" s="198" customFormat="1" ht="25.5" hidden="1">
      <c r="A675" s="185" t="s">
        <v>373</v>
      </c>
      <c r="B675" s="185" t="s">
        <v>370</v>
      </c>
      <c r="C675" s="187">
        <f>C674</f>
        <v>20</v>
      </c>
      <c r="D675" s="187">
        <v>600</v>
      </c>
      <c r="E675" s="187"/>
      <c r="F675" s="209">
        <f t="shared" si="37"/>
        <v>12000</v>
      </c>
      <c r="G675" s="209"/>
      <c r="H675" s="209">
        <f t="shared" si="38"/>
        <v>12000</v>
      </c>
      <c r="I675" s="186"/>
    </row>
    <row r="676" spans="1:9" s="198" customFormat="1" ht="12.75" hidden="1">
      <c r="A676" s="185" t="s">
        <v>374</v>
      </c>
      <c r="B676" s="185"/>
      <c r="C676" s="187">
        <f>C672</f>
        <v>25</v>
      </c>
      <c r="D676" s="187">
        <v>50</v>
      </c>
      <c r="E676" s="187"/>
      <c r="F676" s="209">
        <f t="shared" si="37"/>
        <v>1250</v>
      </c>
      <c r="G676" s="209"/>
      <c r="H676" s="209">
        <f t="shared" si="38"/>
        <v>1250</v>
      </c>
      <c r="I676" s="186"/>
    </row>
    <row r="677" spans="1:9" s="198" customFormat="1" ht="12.75" hidden="1">
      <c r="A677" s="185" t="s">
        <v>375</v>
      </c>
      <c r="B677" s="185" t="s">
        <v>370</v>
      </c>
      <c r="C677" s="187">
        <v>1</v>
      </c>
      <c r="D677" s="187">
        <f>3*10*D670/20</f>
        <v>937.5</v>
      </c>
      <c r="E677" s="187">
        <f>3*10*E670/20</f>
        <v>3375</v>
      </c>
      <c r="F677" s="209">
        <f t="shared" si="37"/>
        <v>937.5</v>
      </c>
      <c r="G677" s="209"/>
      <c r="H677" s="209">
        <f t="shared" si="38"/>
        <v>937.5</v>
      </c>
      <c r="I677" s="186"/>
    </row>
    <row r="678" spans="1:9" s="198" customFormat="1" ht="12.75" hidden="1">
      <c r="A678" s="184" t="s">
        <v>376</v>
      </c>
      <c r="B678" s="185"/>
      <c r="C678" s="187"/>
      <c r="D678" s="187"/>
      <c r="E678" s="187"/>
      <c r="F678" s="209"/>
      <c r="G678" s="209"/>
      <c r="H678" s="209"/>
      <c r="I678" s="186"/>
    </row>
    <row r="679" spans="1:9" s="198" customFormat="1" ht="12.75" hidden="1">
      <c r="A679" s="185" t="s">
        <v>377</v>
      </c>
      <c r="B679" s="185" t="s">
        <v>378</v>
      </c>
      <c r="C679" s="187">
        <v>5</v>
      </c>
      <c r="D679" s="187"/>
      <c r="E679" s="187">
        <f>2.5*B747*4</f>
        <v>900</v>
      </c>
      <c r="F679" s="209">
        <f>D679*C679</f>
        <v>0</v>
      </c>
      <c r="G679" s="209"/>
      <c r="H679" s="209">
        <f>F679+G679</f>
        <v>0</v>
      </c>
      <c r="I679" s="186"/>
    </row>
    <row r="680" spans="1:9" s="198" customFormat="1" ht="12.75" hidden="1">
      <c r="A680" s="185" t="s">
        <v>379</v>
      </c>
      <c r="B680" s="185" t="s">
        <v>380</v>
      </c>
      <c r="C680" s="187">
        <f>C679</f>
        <v>5</v>
      </c>
      <c r="D680" s="187"/>
      <c r="E680" s="187">
        <f>2.5*4*80</f>
        <v>800</v>
      </c>
      <c r="F680" s="209">
        <f>D680*C680</f>
        <v>0</v>
      </c>
      <c r="G680" s="209"/>
      <c r="H680" s="209">
        <f>F680+G680</f>
        <v>0</v>
      </c>
      <c r="I680" s="186"/>
    </row>
    <row r="681" spans="1:9" s="198" customFormat="1" ht="12.75" hidden="1">
      <c r="A681" s="185" t="s">
        <v>381</v>
      </c>
      <c r="B681" s="185" t="s">
        <v>380</v>
      </c>
      <c r="C681" s="187">
        <f>C680</f>
        <v>5</v>
      </c>
      <c r="D681" s="187"/>
      <c r="E681" s="187">
        <f>400*4</f>
        <v>1600</v>
      </c>
      <c r="F681" s="209">
        <f>D681*C681</f>
        <v>0</v>
      </c>
      <c r="G681" s="209"/>
      <c r="H681" s="209">
        <f>F681+G681</f>
        <v>0</v>
      </c>
      <c r="I681" s="186"/>
    </row>
    <row r="682" spans="1:9" s="198" customFormat="1" ht="12.75" hidden="1">
      <c r="A682" s="184" t="s">
        <v>382</v>
      </c>
      <c r="B682" s="185"/>
      <c r="C682" s="187"/>
      <c r="D682" s="187"/>
      <c r="E682" s="187"/>
      <c r="F682" s="209"/>
      <c r="G682" s="209"/>
      <c r="H682" s="209"/>
      <c r="I682" s="186"/>
    </row>
    <row r="683" spans="1:9" s="198" customFormat="1" ht="12.75" hidden="1">
      <c r="A683" s="185" t="s">
        <v>435</v>
      </c>
      <c r="B683" s="185" t="s">
        <v>383</v>
      </c>
      <c r="C683" s="187">
        <f>3*2*4+42</f>
        <v>66</v>
      </c>
      <c r="D683" s="187"/>
      <c r="E683" s="187">
        <v>200</v>
      </c>
      <c r="F683" s="187">
        <f aca="true" t="shared" si="39" ref="F683:F698">D683*C683</f>
        <v>0</v>
      </c>
      <c r="G683" s="187">
        <v>6400</v>
      </c>
      <c r="H683" s="187">
        <f aca="true" t="shared" si="40" ref="H683:H698">F683+G683</f>
        <v>6400</v>
      </c>
      <c r="I683" s="186"/>
    </row>
    <row r="684" spans="1:9" s="198" customFormat="1" ht="12.75" hidden="1">
      <c r="A684" s="185" t="s">
        <v>433</v>
      </c>
      <c r="B684" s="185" t="s">
        <v>368</v>
      </c>
      <c r="C684" s="187">
        <v>3</v>
      </c>
      <c r="D684" s="187"/>
      <c r="E684" s="187">
        <f>2000</f>
        <v>2000</v>
      </c>
      <c r="F684" s="209">
        <f t="shared" si="39"/>
        <v>0</v>
      </c>
      <c r="G684" s="209"/>
      <c r="H684" s="209">
        <f t="shared" si="40"/>
        <v>0</v>
      </c>
      <c r="I684" s="186"/>
    </row>
    <row r="685" spans="1:9" s="198" customFormat="1" ht="12.75" hidden="1">
      <c r="A685" s="185" t="s">
        <v>384</v>
      </c>
      <c r="B685" s="185" t="s">
        <v>368</v>
      </c>
      <c r="C685" s="187">
        <v>3</v>
      </c>
      <c r="D685" s="187"/>
      <c r="E685" s="187">
        <v>2000</v>
      </c>
      <c r="F685" s="209">
        <f t="shared" si="39"/>
        <v>0</v>
      </c>
      <c r="G685" s="209"/>
      <c r="H685" s="209">
        <f t="shared" si="40"/>
        <v>0</v>
      </c>
      <c r="I685" s="186"/>
    </row>
    <row r="686" spans="1:9" s="198" customFormat="1" ht="12.75" hidden="1">
      <c r="A686" s="185" t="s">
        <v>385</v>
      </c>
      <c r="B686" s="185" t="s">
        <v>383</v>
      </c>
      <c r="C686" s="187">
        <f>3*4</f>
        <v>12</v>
      </c>
      <c r="D686" s="187"/>
      <c r="E686" s="187">
        <f>20*B747</f>
        <v>1800</v>
      </c>
      <c r="F686" s="187">
        <f t="shared" si="39"/>
        <v>0</v>
      </c>
      <c r="G686" s="187">
        <v>23000</v>
      </c>
      <c r="H686" s="187">
        <f t="shared" si="40"/>
        <v>23000</v>
      </c>
      <c r="I686" s="186"/>
    </row>
    <row r="687" spans="1:9" s="198" customFormat="1" ht="12.75" hidden="1">
      <c r="A687" s="185" t="s">
        <v>386</v>
      </c>
      <c r="B687" s="185" t="s">
        <v>383</v>
      </c>
      <c r="C687" s="187">
        <f>3*4</f>
        <v>12</v>
      </c>
      <c r="D687" s="187"/>
      <c r="E687" s="187">
        <f>E686</f>
        <v>1800</v>
      </c>
      <c r="F687" s="187">
        <f t="shared" si="39"/>
        <v>0</v>
      </c>
      <c r="G687" s="187">
        <f>G686</f>
        <v>23000</v>
      </c>
      <c r="H687" s="187">
        <f t="shared" si="40"/>
        <v>23000</v>
      </c>
      <c r="I687" s="186"/>
    </row>
    <row r="688" spans="1:9" s="198" customFormat="1" ht="25.5" hidden="1">
      <c r="A688" s="185" t="s">
        <v>387</v>
      </c>
      <c r="B688" s="185" t="s">
        <v>383</v>
      </c>
      <c r="C688" s="187">
        <f>3*4</f>
        <v>12</v>
      </c>
      <c r="D688" s="187"/>
      <c r="E688" s="187">
        <v>600</v>
      </c>
      <c r="F688" s="209">
        <f t="shared" si="39"/>
        <v>0</v>
      </c>
      <c r="G688" s="209"/>
      <c r="H688" s="209">
        <f t="shared" si="40"/>
        <v>0</v>
      </c>
      <c r="I688" s="186"/>
    </row>
    <row r="689" spans="1:9" s="198" customFormat="1" ht="12.75" hidden="1">
      <c r="A689" s="185" t="s">
        <v>388</v>
      </c>
      <c r="B689" s="185" t="s">
        <v>389</v>
      </c>
      <c r="C689" s="187">
        <v>4</v>
      </c>
      <c r="D689" s="187"/>
      <c r="E689" s="187">
        <v>8000</v>
      </c>
      <c r="F689" s="209">
        <f t="shared" si="39"/>
        <v>0</v>
      </c>
      <c r="G689" s="209"/>
      <c r="H689" s="209">
        <f t="shared" si="40"/>
        <v>0</v>
      </c>
      <c r="I689" s="186"/>
    </row>
    <row r="690" spans="1:9" s="198" customFormat="1" ht="12.75" hidden="1">
      <c r="A690" s="185" t="s">
        <v>390</v>
      </c>
      <c r="B690" s="185" t="s">
        <v>383</v>
      </c>
      <c r="C690" s="187">
        <v>42</v>
      </c>
      <c r="D690" s="187"/>
      <c r="E690" s="187">
        <v>200</v>
      </c>
      <c r="F690" s="187">
        <f t="shared" si="39"/>
        <v>0</v>
      </c>
      <c r="G690" s="187">
        <v>8300</v>
      </c>
      <c r="H690" s="187">
        <f t="shared" si="40"/>
        <v>8300</v>
      </c>
      <c r="I690" s="186"/>
    </row>
    <row r="691" spans="1:9" s="198" customFormat="1" ht="12.75" hidden="1">
      <c r="A691" s="185" t="s">
        <v>391</v>
      </c>
      <c r="B691" s="185" t="s">
        <v>383</v>
      </c>
      <c r="C691" s="187">
        <v>42</v>
      </c>
      <c r="D691" s="187"/>
      <c r="E691" s="187">
        <v>100</v>
      </c>
      <c r="F691" s="209">
        <f t="shared" si="39"/>
        <v>0</v>
      </c>
      <c r="G691" s="209"/>
      <c r="H691" s="209">
        <f t="shared" si="40"/>
        <v>0</v>
      </c>
      <c r="I691" s="186"/>
    </row>
    <row r="692" spans="1:9" s="198" customFormat="1" ht="25.5" hidden="1">
      <c r="A692" s="185" t="s">
        <v>392</v>
      </c>
      <c r="B692" s="185" t="s">
        <v>389</v>
      </c>
      <c r="C692" s="187">
        <v>4</v>
      </c>
      <c r="D692" s="187">
        <v>5000</v>
      </c>
      <c r="E692" s="187"/>
      <c r="F692" s="209">
        <f t="shared" si="39"/>
        <v>20000</v>
      </c>
      <c r="G692" s="209"/>
      <c r="H692" s="209">
        <f t="shared" si="40"/>
        <v>20000</v>
      </c>
      <c r="I692" s="186"/>
    </row>
    <row r="693" spans="1:9" s="198" customFormat="1" ht="25.5" hidden="1">
      <c r="A693" s="185" t="s">
        <v>393</v>
      </c>
      <c r="B693" s="185" t="s">
        <v>389</v>
      </c>
      <c r="C693" s="187">
        <v>4</v>
      </c>
      <c r="D693" s="187">
        <v>4000</v>
      </c>
      <c r="E693" s="187">
        <v>3000</v>
      </c>
      <c r="F693" s="209">
        <f t="shared" si="39"/>
        <v>16000</v>
      </c>
      <c r="G693" s="209"/>
      <c r="H693" s="209">
        <f t="shared" si="40"/>
        <v>16000</v>
      </c>
      <c r="I693" s="186"/>
    </row>
    <row r="694" spans="1:9" s="198" customFormat="1" ht="12.75" hidden="1">
      <c r="A694" s="185" t="s">
        <v>394</v>
      </c>
      <c r="B694" s="185" t="s">
        <v>395</v>
      </c>
      <c r="C694" s="187">
        <v>1</v>
      </c>
      <c r="D694" s="187">
        <v>7000</v>
      </c>
      <c r="E694" s="187"/>
      <c r="F694" s="209">
        <f t="shared" si="39"/>
        <v>7000</v>
      </c>
      <c r="G694" s="209">
        <f>C694*E694</f>
        <v>0</v>
      </c>
      <c r="H694" s="209">
        <f t="shared" si="40"/>
        <v>7000</v>
      </c>
      <c r="I694" s="186"/>
    </row>
    <row r="695" spans="1:9" s="198" customFormat="1" ht="38.25" hidden="1">
      <c r="A695" s="185" t="s">
        <v>2</v>
      </c>
      <c r="B695" s="185" t="s">
        <v>395</v>
      </c>
      <c r="C695" s="187">
        <v>1</v>
      </c>
      <c r="D695" s="187">
        <v>6545</v>
      </c>
      <c r="E695" s="187"/>
      <c r="F695" s="209">
        <f t="shared" si="39"/>
        <v>6545</v>
      </c>
      <c r="G695" s="209"/>
      <c r="H695" s="209">
        <f t="shared" si="40"/>
        <v>6545</v>
      </c>
      <c r="I695" s="186"/>
    </row>
    <row r="696" spans="1:9" s="198" customFormat="1" ht="38.25" hidden="1">
      <c r="A696" s="185" t="s">
        <v>396</v>
      </c>
      <c r="B696" s="185" t="s">
        <v>370</v>
      </c>
      <c r="C696" s="187">
        <v>1</v>
      </c>
      <c r="D696" s="187">
        <v>15000</v>
      </c>
      <c r="E696" s="187">
        <v>10000</v>
      </c>
      <c r="F696" s="209">
        <f t="shared" si="39"/>
        <v>15000</v>
      </c>
      <c r="G696" s="209"/>
      <c r="H696" s="209">
        <f t="shared" si="40"/>
        <v>15000</v>
      </c>
      <c r="I696" s="186"/>
    </row>
    <row r="697" spans="1:9" s="198" customFormat="1" ht="25.5" hidden="1">
      <c r="A697" s="185" t="s">
        <v>431</v>
      </c>
      <c r="B697" s="185" t="s">
        <v>370</v>
      </c>
      <c r="C697" s="187">
        <v>1</v>
      </c>
      <c r="D697" s="187">
        <v>10000</v>
      </c>
      <c r="E697" s="187">
        <v>10000</v>
      </c>
      <c r="F697" s="209">
        <f>D697*C697</f>
        <v>10000</v>
      </c>
      <c r="G697" s="209"/>
      <c r="H697" s="209">
        <f>F697+G697</f>
        <v>10000</v>
      </c>
      <c r="I697" s="186"/>
    </row>
    <row r="698" spans="1:9" s="198" customFormat="1" ht="25.5" hidden="1">
      <c r="A698" s="185" t="s">
        <v>432</v>
      </c>
      <c r="B698" s="185" t="s">
        <v>370</v>
      </c>
      <c r="C698" s="187">
        <v>1</v>
      </c>
      <c r="D698" s="187">
        <v>10572.5</v>
      </c>
      <c r="E698" s="210">
        <f>E697+1135</f>
        <v>11135</v>
      </c>
      <c r="F698" s="209">
        <f t="shared" si="39"/>
        <v>10572.5</v>
      </c>
      <c r="G698" s="209"/>
      <c r="H698" s="209">
        <f t="shared" si="40"/>
        <v>10572.5</v>
      </c>
      <c r="I698" s="186"/>
    </row>
    <row r="699" spans="1:9" s="198" customFormat="1" ht="12.75" hidden="1">
      <c r="A699" s="185" t="s">
        <v>397</v>
      </c>
      <c r="B699" s="185" t="s">
        <v>398</v>
      </c>
      <c r="C699" s="187">
        <v>4</v>
      </c>
      <c r="D699" s="187">
        <f>3*SUM(E671:E673)+SUM(D674:D675)+3*D676</f>
        <v>1985</v>
      </c>
      <c r="E699" s="187">
        <f>3*E670</f>
        <v>6750</v>
      </c>
      <c r="F699" s="209">
        <f>D699*C699</f>
        <v>7940</v>
      </c>
      <c r="G699" s="209"/>
      <c r="H699" s="209">
        <f>F699+G699</f>
        <v>7940</v>
      </c>
      <c r="I699" s="186"/>
    </row>
    <row r="700" spans="1:9" s="198" customFormat="1" ht="12.75" hidden="1">
      <c r="A700" s="188" t="s">
        <v>399</v>
      </c>
      <c r="B700" s="188"/>
      <c r="C700" s="189"/>
      <c r="D700" s="189"/>
      <c r="E700" s="189"/>
      <c r="F700" s="211">
        <f>SUM(F669:F699)</f>
        <v>126870</v>
      </c>
      <c r="G700" s="211">
        <f>SUM(G669:G699)</f>
        <v>60700</v>
      </c>
      <c r="H700" s="211">
        <f>SUM(H669:H699)</f>
        <v>187570</v>
      </c>
      <c r="I700" s="186"/>
    </row>
    <row r="701" s="198" customFormat="1" ht="12.75" hidden="1"/>
    <row r="702" s="198" customFormat="1" ht="12.75" hidden="1"/>
    <row r="703" s="198" customFormat="1" ht="12.75" hidden="1">
      <c r="A703" s="197" t="s">
        <v>400</v>
      </c>
    </row>
    <row r="704" spans="1:5" s="198" customFormat="1" ht="12.75" hidden="1">
      <c r="A704" s="182" t="s">
        <v>357</v>
      </c>
      <c r="B704" s="182" t="s">
        <v>231</v>
      </c>
      <c r="C704" s="182" t="s">
        <v>362</v>
      </c>
      <c r="D704" s="182" t="s">
        <v>4</v>
      </c>
      <c r="E704" s="183" t="s">
        <v>363</v>
      </c>
    </row>
    <row r="705" spans="1:9" s="198" customFormat="1" ht="12.75" hidden="1">
      <c r="A705" s="212" t="s">
        <v>322</v>
      </c>
      <c r="B705" s="209"/>
      <c r="C705" s="209"/>
      <c r="D705" s="209"/>
      <c r="E705" s="213"/>
      <c r="F705" s="217"/>
      <c r="G705" s="217"/>
      <c r="H705" s="217"/>
      <c r="I705" s="217"/>
    </row>
    <row r="706" spans="1:5" s="198" customFormat="1" ht="12.75" hidden="1">
      <c r="A706" s="212" t="s">
        <v>331</v>
      </c>
      <c r="B706" s="209"/>
      <c r="C706" s="209"/>
      <c r="D706" s="209"/>
      <c r="E706" s="213"/>
    </row>
    <row r="707" spans="1:5" s="198" customFormat="1" ht="12.75" hidden="1">
      <c r="A707" s="212" t="s">
        <v>332</v>
      </c>
      <c r="B707" s="209"/>
      <c r="C707" s="209"/>
      <c r="D707" s="209"/>
      <c r="E707" s="213"/>
    </row>
    <row r="708" spans="1:5" s="198" customFormat="1" ht="12.75" hidden="1">
      <c r="A708" s="212" t="s">
        <v>333</v>
      </c>
      <c r="B708" s="209"/>
      <c r="C708" s="209"/>
      <c r="D708" s="209"/>
      <c r="E708" s="213"/>
    </row>
    <row r="709" spans="1:5" s="198" customFormat="1" ht="12.75" hidden="1">
      <c r="A709" s="185" t="s">
        <v>325</v>
      </c>
      <c r="B709" s="187">
        <f>'DP1'!G127</f>
        <v>0</v>
      </c>
      <c r="C709" s="187">
        <f>'DP1'!H127</f>
        <v>0</v>
      </c>
      <c r="D709" s="187">
        <f>B709+C709</f>
        <v>0</v>
      </c>
      <c r="E709" s="186"/>
    </row>
    <row r="710" spans="1:5" s="198" customFormat="1" ht="12.75" hidden="1">
      <c r="A710" s="212" t="s">
        <v>321</v>
      </c>
      <c r="B710" s="209"/>
      <c r="C710" s="209"/>
      <c r="D710" s="209"/>
      <c r="E710" s="209"/>
    </row>
    <row r="711" spans="1:5" s="198" customFormat="1" ht="12.75" hidden="1">
      <c r="A711" s="214" t="s">
        <v>399</v>
      </c>
      <c r="B711" s="211">
        <f>SUM(B705:B710)</f>
        <v>0</v>
      </c>
      <c r="C711" s="211">
        <f>SUM(C705:C710)</f>
        <v>0</v>
      </c>
      <c r="D711" s="211">
        <f>SUM(D705:D710)</f>
        <v>0</v>
      </c>
      <c r="E711" s="213"/>
    </row>
    <row r="712" spans="1:5" s="198" customFormat="1" ht="12.75" hidden="1">
      <c r="A712" s="190"/>
      <c r="B712" s="191"/>
      <c r="C712" s="191"/>
      <c r="D712" s="191"/>
      <c r="E712" s="199"/>
    </row>
    <row r="713" s="198" customFormat="1" ht="12.75" hidden="1"/>
    <row r="714" spans="1:2" s="198" customFormat="1" ht="12.75" hidden="1">
      <c r="A714" s="197" t="s">
        <v>401</v>
      </c>
      <c r="B714" s="197"/>
    </row>
    <row r="715" spans="1:9" s="198" customFormat="1" ht="12.75" hidden="1">
      <c r="A715" s="182" t="s">
        <v>402</v>
      </c>
      <c r="B715" s="182" t="s">
        <v>358</v>
      </c>
      <c r="C715" s="182" t="s">
        <v>359</v>
      </c>
      <c r="D715" s="182" t="s">
        <v>360</v>
      </c>
      <c r="E715" s="182" t="s">
        <v>361</v>
      </c>
      <c r="F715" s="182" t="s">
        <v>231</v>
      </c>
      <c r="G715" s="182" t="s">
        <v>362</v>
      </c>
      <c r="H715" s="182" t="s">
        <v>4</v>
      </c>
      <c r="I715" s="183" t="s">
        <v>363</v>
      </c>
    </row>
    <row r="716" spans="1:9" s="198" customFormat="1" ht="12.75" hidden="1">
      <c r="A716" s="185" t="s">
        <v>403</v>
      </c>
      <c r="B716" s="185" t="s">
        <v>383</v>
      </c>
      <c r="C716" s="187"/>
      <c r="D716" s="187"/>
      <c r="E716" s="187"/>
      <c r="F716" s="187"/>
      <c r="G716" s="187"/>
      <c r="H716" s="187"/>
      <c r="I716" s="186"/>
    </row>
    <row r="717" spans="1:9" s="198" customFormat="1" ht="12.75" hidden="1">
      <c r="A717" s="185" t="s">
        <v>433</v>
      </c>
      <c r="B717" s="185" t="s">
        <v>368</v>
      </c>
      <c r="C717" s="187"/>
      <c r="D717" s="187"/>
      <c r="E717" s="187"/>
      <c r="F717" s="187"/>
      <c r="G717" s="187"/>
      <c r="H717" s="187"/>
      <c r="I717" s="186"/>
    </row>
    <row r="718" spans="1:9" s="198" customFormat="1" ht="25.5" hidden="1">
      <c r="A718" s="185" t="s">
        <v>387</v>
      </c>
      <c r="B718" s="185" t="s">
        <v>383</v>
      </c>
      <c r="C718" s="187"/>
      <c r="D718" s="187"/>
      <c r="E718" s="187"/>
      <c r="F718" s="187"/>
      <c r="G718" s="187"/>
      <c r="H718" s="187"/>
      <c r="I718" s="186"/>
    </row>
    <row r="719" spans="1:9" s="198" customFormat="1" ht="12.75" hidden="1">
      <c r="A719" s="185" t="s">
        <v>434</v>
      </c>
      <c r="B719" s="185" t="s">
        <v>383</v>
      </c>
      <c r="C719" s="187"/>
      <c r="D719" s="187"/>
      <c r="E719" s="187"/>
      <c r="F719" s="187"/>
      <c r="G719" s="187"/>
      <c r="H719" s="187"/>
      <c r="I719" s="186"/>
    </row>
    <row r="720" spans="1:9" s="198" customFormat="1" ht="12.75" hidden="1">
      <c r="A720" s="185" t="s">
        <v>391</v>
      </c>
      <c r="B720" s="185" t="s">
        <v>383</v>
      </c>
      <c r="C720" s="187"/>
      <c r="D720" s="187"/>
      <c r="E720" s="187"/>
      <c r="F720" s="187"/>
      <c r="G720" s="187"/>
      <c r="H720" s="187"/>
      <c r="I720" s="186"/>
    </row>
    <row r="721" spans="1:9" s="198" customFormat="1" ht="12.75" hidden="1">
      <c r="A721" s="188" t="s">
        <v>399</v>
      </c>
      <c r="B721" s="188"/>
      <c r="C721" s="189"/>
      <c r="D721" s="189"/>
      <c r="E721" s="189"/>
      <c r="F721" s="189">
        <f>SUM(F716:F720)</f>
        <v>0</v>
      </c>
      <c r="G721" s="189">
        <f>SUM(G716:G720)</f>
        <v>0</v>
      </c>
      <c r="H721" s="189">
        <f>SUM(H716:H720)</f>
        <v>0</v>
      </c>
      <c r="I721" s="186"/>
    </row>
    <row r="722" spans="1:9" s="198" customFormat="1" ht="12.75" hidden="1">
      <c r="A722" s="190"/>
      <c r="B722" s="190"/>
      <c r="C722" s="191"/>
      <c r="D722" s="191"/>
      <c r="E722" s="191"/>
      <c r="F722" s="191"/>
      <c r="G722" s="191"/>
      <c r="H722" s="191"/>
      <c r="I722" s="199"/>
    </row>
    <row r="723" spans="1:9" s="198" customFormat="1" ht="12.75" hidden="1">
      <c r="A723" s="190"/>
      <c r="B723" s="190"/>
      <c r="C723" s="191"/>
      <c r="D723" s="191"/>
      <c r="E723" s="191"/>
      <c r="F723" s="191"/>
      <c r="G723" s="191"/>
      <c r="H723" s="191"/>
      <c r="I723" s="199"/>
    </row>
    <row r="724" s="198" customFormat="1" ht="12.75" hidden="1">
      <c r="A724" s="197" t="s">
        <v>404</v>
      </c>
    </row>
    <row r="725" spans="1:5" s="198" customFormat="1" ht="12.75" hidden="1">
      <c r="A725" s="182" t="s">
        <v>357</v>
      </c>
      <c r="B725" s="182" t="s">
        <v>231</v>
      </c>
      <c r="C725" s="182" t="s">
        <v>362</v>
      </c>
      <c r="D725" s="182" t="s">
        <v>4</v>
      </c>
      <c r="E725" s="183" t="s">
        <v>363</v>
      </c>
    </row>
    <row r="726" spans="1:5" s="198" customFormat="1" ht="12.75" hidden="1">
      <c r="A726" s="185" t="s">
        <v>322</v>
      </c>
      <c r="B726" s="187"/>
      <c r="C726" s="187"/>
      <c r="D726" s="187"/>
      <c r="E726" s="186"/>
    </row>
    <row r="727" spans="1:5" s="198" customFormat="1" ht="12.75" hidden="1">
      <c r="A727" s="185" t="s">
        <v>331</v>
      </c>
      <c r="B727" s="187"/>
      <c r="C727" s="187"/>
      <c r="D727" s="187"/>
      <c r="E727" s="186"/>
    </row>
    <row r="728" spans="1:5" s="198" customFormat="1" ht="12.75" hidden="1">
      <c r="A728" s="185" t="s">
        <v>332</v>
      </c>
      <c r="B728" s="187"/>
      <c r="C728" s="187"/>
      <c r="D728" s="187"/>
      <c r="E728" s="186"/>
    </row>
    <row r="729" spans="1:5" s="198" customFormat="1" ht="12.75" hidden="1">
      <c r="A729" s="185" t="s">
        <v>333</v>
      </c>
      <c r="B729" s="187"/>
      <c r="C729" s="187"/>
      <c r="D729" s="187"/>
      <c r="E729" s="186"/>
    </row>
    <row r="730" spans="1:5" s="198" customFormat="1" ht="12.75" hidden="1">
      <c r="A730" s="185" t="s">
        <v>325</v>
      </c>
      <c r="B730" s="187">
        <f>F700+B711</f>
        <v>126870</v>
      </c>
      <c r="C730" s="187">
        <f>G700+C711</f>
        <v>60700</v>
      </c>
      <c r="D730" s="187"/>
      <c r="E730" s="186"/>
    </row>
    <row r="731" spans="1:5" s="198" customFormat="1" ht="12.75" hidden="1">
      <c r="A731" s="185" t="s">
        <v>321</v>
      </c>
      <c r="B731" s="187"/>
      <c r="C731" s="187"/>
      <c r="D731" s="187"/>
      <c r="E731" s="186"/>
    </row>
    <row r="732" spans="1:5" s="198" customFormat="1" ht="12.75" hidden="1">
      <c r="A732" s="188" t="s">
        <v>399</v>
      </c>
      <c r="B732" s="189">
        <f>SUM(B726:B731)</f>
        <v>126870</v>
      </c>
      <c r="C732" s="189">
        <f>SUM(C726:C731)</f>
        <v>60700</v>
      </c>
      <c r="D732" s="189">
        <f>SUM(D726:D731)</f>
        <v>0</v>
      </c>
      <c r="E732" s="186"/>
    </row>
    <row r="733" spans="1:9" s="198" customFormat="1" ht="12.75" hidden="1">
      <c r="A733" s="190"/>
      <c r="B733" s="190"/>
      <c r="C733" s="191"/>
      <c r="D733" s="191"/>
      <c r="E733" s="191"/>
      <c r="F733" s="191"/>
      <c r="G733" s="191"/>
      <c r="H733" s="191"/>
      <c r="I733" s="199"/>
    </row>
    <row r="734" s="198" customFormat="1" ht="12.75" hidden="1"/>
    <row r="735" s="198" customFormat="1" ht="12.75" hidden="1"/>
    <row r="736" s="198" customFormat="1" ht="12.75" hidden="1"/>
    <row r="737" s="198" customFormat="1" ht="12.75" hidden="1"/>
    <row r="738" s="198" customFormat="1" ht="12.75" hidden="1"/>
    <row r="739" s="198" customFormat="1" ht="12.75" hidden="1"/>
    <row r="740" s="198" customFormat="1" ht="12.75" hidden="1"/>
    <row r="741" s="198" customFormat="1" ht="12.75" hidden="1"/>
    <row r="742" spans="1:2" s="198" customFormat="1" ht="24.75" hidden="1">
      <c r="A742" s="192" t="s">
        <v>357</v>
      </c>
      <c r="B742" s="183" t="s">
        <v>405</v>
      </c>
    </row>
    <row r="743" spans="1:2" s="198" customFormat="1" ht="12.75" hidden="1">
      <c r="A743" s="193" t="s">
        <v>365</v>
      </c>
      <c r="B743" s="194"/>
    </row>
    <row r="744" spans="1:2" s="198" customFormat="1" ht="12.75" hidden="1">
      <c r="A744" s="185" t="s">
        <v>406</v>
      </c>
      <c r="B744" s="194">
        <v>1</v>
      </c>
    </row>
    <row r="745" spans="1:2" s="198" customFormat="1" ht="12.75" hidden="1">
      <c r="A745" s="185" t="s">
        <v>407</v>
      </c>
      <c r="B745" s="194">
        <v>25</v>
      </c>
    </row>
    <row r="746" spans="1:2" s="198" customFormat="1" ht="12.75" hidden="1">
      <c r="A746" s="185" t="s">
        <v>408</v>
      </c>
      <c r="B746" s="194">
        <v>25</v>
      </c>
    </row>
    <row r="747" spans="1:2" s="198" customFormat="1" ht="12.75" hidden="1">
      <c r="A747" s="185" t="s">
        <v>409</v>
      </c>
      <c r="B747" s="194">
        <v>90</v>
      </c>
    </row>
    <row r="748" spans="1:2" s="198" customFormat="1" ht="12.75" hidden="1">
      <c r="A748" s="195" t="s">
        <v>410</v>
      </c>
      <c r="B748" s="194">
        <f>B744*B745*B747</f>
        <v>2250</v>
      </c>
    </row>
    <row r="749" spans="1:2" s="198" customFormat="1" ht="12.75" hidden="1">
      <c r="A749" s="195" t="s">
        <v>411</v>
      </c>
      <c r="B749" s="194">
        <f>B744*B745*B746</f>
        <v>625</v>
      </c>
    </row>
    <row r="750" spans="1:2" s="198" customFormat="1" ht="12.75" hidden="1">
      <c r="A750" s="193" t="s">
        <v>412</v>
      </c>
      <c r="B750" s="196"/>
    </row>
    <row r="751" spans="1:2" s="198" customFormat="1" ht="12.75" hidden="1">
      <c r="A751" s="185" t="s">
        <v>413</v>
      </c>
      <c r="B751" s="194">
        <v>120</v>
      </c>
    </row>
    <row r="752" spans="1:2" s="198" customFormat="1" ht="12.75" hidden="1">
      <c r="A752" s="185" t="s">
        <v>369</v>
      </c>
      <c r="B752" s="194"/>
    </row>
    <row r="753" spans="1:2" s="198" customFormat="1" ht="25.5" hidden="1">
      <c r="A753" s="185" t="s">
        <v>371</v>
      </c>
      <c r="B753" s="194"/>
    </row>
    <row r="754" spans="1:2" s="198" customFormat="1" ht="12.75" hidden="1">
      <c r="A754" s="195" t="s">
        <v>414</v>
      </c>
      <c r="B754" s="194">
        <f>SUM(B751:B753)</f>
        <v>120</v>
      </c>
    </row>
    <row r="755" spans="1:2" s="198" customFormat="1" ht="12.75" hidden="1">
      <c r="A755" s="193" t="s">
        <v>415</v>
      </c>
      <c r="B755" s="194"/>
    </row>
    <row r="756" spans="1:2" s="198" customFormat="1" ht="12.75" hidden="1">
      <c r="A756" s="185" t="s">
        <v>372</v>
      </c>
      <c r="B756" s="194"/>
    </row>
    <row r="757" spans="1:2" s="198" customFormat="1" ht="25.5" hidden="1">
      <c r="A757" s="185" t="s">
        <v>373</v>
      </c>
      <c r="B757" s="194"/>
    </row>
    <row r="758" spans="1:2" s="198" customFormat="1" ht="12.75" hidden="1">
      <c r="A758" s="185" t="s">
        <v>374</v>
      </c>
      <c r="B758" s="194"/>
    </row>
    <row r="759" spans="1:2" s="198" customFormat="1" ht="12.75" hidden="1">
      <c r="A759" s="195" t="s">
        <v>416</v>
      </c>
      <c r="B759" s="194">
        <f>SUM(B756:B758)</f>
        <v>0</v>
      </c>
    </row>
    <row r="760" spans="1:2" s="198" customFormat="1" ht="12.75" hidden="1">
      <c r="A760" s="193" t="s">
        <v>417</v>
      </c>
      <c r="B760" s="200">
        <f>B748+B754</f>
        <v>2370</v>
      </c>
    </row>
    <row r="761" spans="1:2" s="198" customFormat="1" ht="12.75" hidden="1">
      <c r="A761" s="193" t="s">
        <v>418</v>
      </c>
      <c r="B761" s="200">
        <f>B749+B759</f>
        <v>625</v>
      </c>
    </row>
    <row r="762" spans="1:2" s="198" customFormat="1" ht="12.75" hidden="1">
      <c r="A762" s="188" t="s">
        <v>399</v>
      </c>
      <c r="B762" s="200">
        <f>B760+B761</f>
        <v>2995</v>
      </c>
    </row>
    <row r="763" s="198" customFormat="1" ht="12.75" hidden="1"/>
    <row r="764" s="198" customFormat="1" ht="12.75" hidden="1"/>
    <row r="765" spans="1:6" s="198" customFormat="1" ht="12.75" hidden="1">
      <c r="A765" s="204"/>
      <c r="B765" s="204" t="s">
        <v>429</v>
      </c>
      <c r="C765" s="204" t="s">
        <v>430</v>
      </c>
      <c r="D765" s="204"/>
      <c r="E765" s="201"/>
      <c r="F765" s="201"/>
    </row>
    <row r="766" spans="1:6" s="198" customFormat="1" ht="12.75" hidden="1">
      <c r="A766" s="205" t="s">
        <v>109</v>
      </c>
      <c r="B766" s="204"/>
      <c r="C766" s="204"/>
      <c r="D766" s="204"/>
      <c r="E766" s="201"/>
      <c r="F766" s="201"/>
    </row>
    <row r="767" spans="1:4" s="198" customFormat="1" ht="12.75" hidden="1">
      <c r="A767" s="206" t="s">
        <v>385</v>
      </c>
      <c r="B767" s="208">
        <f>F686</f>
        <v>0</v>
      </c>
      <c r="C767" s="208">
        <f>G686</f>
        <v>23000</v>
      </c>
      <c r="D767" s="204"/>
    </row>
    <row r="768" spans="1:4" s="198" customFormat="1" ht="12.75" hidden="1">
      <c r="A768" s="206" t="s">
        <v>386</v>
      </c>
      <c r="B768" s="208">
        <f>F687</f>
        <v>0</v>
      </c>
      <c r="C768" s="208">
        <f>G687</f>
        <v>23000</v>
      </c>
      <c r="D768" s="204"/>
    </row>
    <row r="769" spans="1:4" s="198" customFormat="1" ht="12.75" hidden="1">
      <c r="A769" s="207" t="s">
        <v>108</v>
      </c>
      <c r="B769" s="204"/>
      <c r="C769" s="204"/>
      <c r="D769" s="204"/>
    </row>
    <row r="770" spans="1:4" s="198" customFormat="1" ht="12.75" hidden="1">
      <c r="A770" s="206" t="s">
        <v>442</v>
      </c>
      <c r="B770" s="208">
        <f>F692</f>
        <v>20000</v>
      </c>
      <c r="C770" s="208">
        <f>G692</f>
        <v>0</v>
      </c>
      <c r="D770" s="204"/>
    </row>
    <row r="771" spans="1:4" s="198" customFormat="1" ht="12.75" hidden="1">
      <c r="A771" s="206" t="s">
        <v>443</v>
      </c>
      <c r="B771" s="208">
        <f>F697</f>
        <v>10000</v>
      </c>
      <c r="C771" s="208">
        <f>G697</f>
        <v>0</v>
      </c>
      <c r="D771" s="204"/>
    </row>
    <row r="772" spans="1:4" s="198" customFormat="1" ht="12.75" hidden="1">
      <c r="A772" s="206" t="s">
        <v>444</v>
      </c>
      <c r="B772" s="208">
        <f>F698</f>
        <v>10572.5</v>
      </c>
      <c r="C772" s="208">
        <f>G698</f>
        <v>0</v>
      </c>
      <c r="D772" s="204"/>
    </row>
    <row r="773" spans="1:4" s="198" customFormat="1" ht="12.75" hidden="1">
      <c r="A773" s="206" t="s">
        <v>445</v>
      </c>
      <c r="B773" s="208">
        <f>F696</f>
        <v>15000</v>
      </c>
      <c r="C773" s="208">
        <f>G696</f>
        <v>0</v>
      </c>
      <c r="D773" s="204"/>
    </row>
    <row r="774" spans="1:4" s="198" customFormat="1" ht="12.75" hidden="1">
      <c r="A774" s="206" t="s">
        <v>446</v>
      </c>
      <c r="B774" s="208">
        <f>B711</f>
        <v>0</v>
      </c>
      <c r="C774" s="208">
        <f>C711</f>
        <v>0</v>
      </c>
      <c r="D774" s="204"/>
    </row>
    <row r="775" spans="1:4" s="198" customFormat="1" ht="12.75" hidden="1">
      <c r="A775" s="207" t="s">
        <v>95</v>
      </c>
      <c r="B775" s="204"/>
      <c r="C775" s="204"/>
      <c r="D775" s="204"/>
    </row>
    <row r="776" spans="1:4" s="198" customFormat="1" ht="25.5" hidden="1">
      <c r="A776" s="206" t="s">
        <v>387</v>
      </c>
      <c r="B776" s="208">
        <f>F688+F718</f>
        <v>0</v>
      </c>
      <c r="C776" s="208">
        <f>G688+G718</f>
        <v>0</v>
      </c>
      <c r="D776" s="204"/>
    </row>
    <row r="777" spans="1:4" s="198" customFormat="1" ht="12.75" hidden="1">
      <c r="A777" s="207" t="s">
        <v>91</v>
      </c>
      <c r="B777" s="204"/>
      <c r="C777" s="204"/>
      <c r="D777" s="204"/>
    </row>
    <row r="778" spans="1:4" s="198" customFormat="1" ht="12.75" hidden="1">
      <c r="A778" s="206" t="s">
        <v>427</v>
      </c>
      <c r="B778" s="208">
        <f>SUM(F679:F681)</f>
        <v>0</v>
      </c>
      <c r="C778" s="208">
        <f>SUM(G679:G681)</f>
        <v>0</v>
      </c>
      <c r="D778" s="204"/>
    </row>
    <row r="779" spans="1:4" s="198" customFormat="1" ht="12.75" hidden="1">
      <c r="A779" s="207" t="s">
        <v>105</v>
      </c>
      <c r="D779" s="204"/>
    </row>
    <row r="780" spans="1:4" s="198" customFormat="1" ht="38.25" hidden="1">
      <c r="A780" s="206" t="s">
        <v>205</v>
      </c>
      <c r="B780" s="208">
        <f>F693</f>
        <v>16000</v>
      </c>
      <c r="C780" s="208">
        <f>G693</f>
        <v>0</v>
      </c>
      <c r="D780" s="204"/>
    </row>
    <row r="781" spans="1:4" s="198" customFormat="1" ht="12.75" hidden="1">
      <c r="A781" s="206" t="s">
        <v>397</v>
      </c>
      <c r="B781" s="208">
        <f>F699</f>
        <v>7940</v>
      </c>
      <c r="C781" s="208">
        <f>G699</f>
        <v>0</v>
      </c>
      <c r="D781" s="204"/>
    </row>
    <row r="782" spans="1:4" s="198" customFormat="1" ht="12.75" hidden="1">
      <c r="A782" s="207" t="s">
        <v>94</v>
      </c>
      <c r="B782" s="204"/>
      <c r="C782" s="204"/>
      <c r="D782" s="204"/>
    </row>
    <row r="783" spans="1:4" s="198" customFormat="1" ht="12.75" hidden="1">
      <c r="A783" s="206" t="s">
        <v>375</v>
      </c>
      <c r="B783" s="208">
        <f>F677</f>
        <v>937.5</v>
      </c>
      <c r="C783" s="208">
        <f>G677</f>
        <v>0</v>
      </c>
      <c r="D783" s="204"/>
    </row>
    <row r="784" spans="1:4" s="198" customFormat="1" ht="12.75" hidden="1">
      <c r="A784" s="206" t="s">
        <v>453</v>
      </c>
      <c r="B784" s="208">
        <f>F694</f>
        <v>7000</v>
      </c>
      <c r="C784" s="208">
        <f>G694</f>
        <v>0</v>
      </c>
      <c r="D784" s="204"/>
    </row>
    <row r="785" spans="1:4" s="198" customFormat="1" ht="12.75" hidden="1">
      <c r="A785" s="206" t="s">
        <v>454</v>
      </c>
      <c r="B785" s="208">
        <f>F695</f>
        <v>6545</v>
      </c>
      <c r="C785" s="208">
        <f>G695</f>
        <v>0</v>
      </c>
      <c r="D785" s="204"/>
    </row>
    <row r="786" spans="1:4" s="198" customFormat="1" ht="12.75" hidden="1">
      <c r="A786" s="206" t="s">
        <v>426</v>
      </c>
      <c r="B786" s="208">
        <f>SUM(F670:F676)</f>
        <v>32875</v>
      </c>
      <c r="C786" s="208">
        <f>SUM(G670:G676)</f>
        <v>0</v>
      </c>
      <c r="D786" s="204"/>
    </row>
    <row r="787" spans="1:4" s="198" customFormat="1" ht="12.75" hidden="1">
      <c r="A787" s="207" t="s">
        <v>103</v>
      </c>
      <c r="B787" s="204"/>
      <c r="C787" s="204"/>
      <c r="D787" s="204"/>
    </row>
    <row r="788" spans="1:4" s="198" customFormat="1" ht="12.75" hidden="1">
      <c r="A788" s="206" t="s">
        <v>58</v>
      </c>
      <c r="B788" s="208">
        <f>F685</f>
        <v>0</v>
      </c>
      <c r="C788" s="208">
        <f>G685</f>
        <v>0</v>
      </c>
      <c r="D788" s="204"/>
    </row>
    <row r="789" spans="1:4" s="198" customFormat="1" ht="12.75" hidden="1">
      <c r="A789" s="207" t="s">
        <v>90</v>
      </c>
      <c r="B789" s="204"/>
      <c r="C789" s="204"/>
      <c r="D789" s="204"/>
    </row>
    <row r="790" spans="1:4" s="198" customFormat="1" ht="12.75" hidden="1">
      <c r="A790" s="206" t="s">
        <v>354</v>
      </c>
      <c r="B790" s="208">
        <f>F684+F717</f>
        <v>0</v>
      </c>
      <c r="C790" s="208">
        <f>G684+G717</f>
        <v>0</v>
      </c>
      <c r="D790" s="204"/>
    </row>
    <row r="791" spans="1:4" s="198" customFormat="1" ht="12.75" hidden="1">
      <c r="A791" s="206" t="s">
        <v>388</v>
      </c>
      <c r="B791" s="208">
        <f>F689</f>
        <v>0</v>
      </c>
      <c r="C791" s="208">
        <f>G689</f>
        <v>0</v>
      </c>
      <c r="D791" s="204"/>
    </row>
    <row r="792" spans="1:4" s="198" customFormat="1" ht="12.75" hidden="1">
      <c r="A792" s="207" t="s">
        <v>122</v>
      </c>
      <c r="B792" s="204"/>
      <c r="C792" s="204"/>
      <c r="D792" s="204"/>
    </row>
    <row r="793" spans="1:4" s="198" customFormat="1" ht="12.75" hidden="1">
      <c r="A793" s="206" t="s">
        <v>390</v>
      </c>
      <c r="B793" s="208">
        <f>F690+F719</f>
        <v>0</v>
      </c>
      <c r="C793" s="208">
        <f>G690+G719</f>
        <v>8300</v>
      </c>
      <c r="D793" s="204"/>
    </row>
    <row r="794" spans="1:4" s="198" customFormat="1" ht="12.75" hidden="1">
      <c r="A794" s="206" t="s">
        <v>403</v>
      </c>
      <c r="B794" s="208">
        <f>F683+F716</f>
        <v>0</v>
      </c>
      <c r="C794" s="208">
        <f>G683+G716</f>
        <v>6400</v>
      </c>
      <c r="D794" s="204"/>
    </row>
    <row r="795" spans="1:4" s="198" customFormat="1" ht="12.75" hidden="1">
      <c r="A795" s="207" t="s">
        <v>124</v>
      </c>
      <c r="B795" s="204"/>
      <c r="C795" s="204"/>
      <c r="D795" s="204"/>
    </row>
    <row r="796" spans="1:4" s="198" customFormat="1" ht="12.75" hidden="1">
      <c r="A796" s="206" t="s">
        <v>391</v>
      </c>
      <c r="B796" s="208">
        <f>F691+F720</f>
        <v>0</v>
      </c>
      <c r="C796" s="208">
        <f>G691+G720</f>
        <v>0</v>
      </c>
      <c r="D796" s="204"/>
    </row>
    <row r="797" spans="1:4" s="198" customFormat="1" ht="12.75" hidden="1">
      <c r="A797" s="206"/>
      <c r="B797" s="204">
        <f>SUM(B766:B796)</f>
        <v>126870</v>
      </c>
      <c r="C797" s="204">
        <f>SUM(C766:C796)</f>
        <v>60700</v>
      </c>
      <c r="D797" s="204"/>
    </row>
    <row r="798" s="198" customFormat="1" ht="12.75" hidden="1">
      <c r="A798" s="202"/>
    </row>
    <row r="799" s="198" customFormat="1" ht="12.75">
      <c r="A799" s="216" t="s">
        <v>459</v>
      </c>
    </row>
    <row r="800" spans="1:9" s="198" customFormat="1" ht="12.75" hidden="1">
      <c r="A800" s="182" t="s">
        <v>357</v>
      </c>
      <c r="B800" s="182" t="s">
        <v>358</v>
      </c>
      <c r="C800" s="182" t="s">
        <v>359</v>
      </c>
      <c r="D800" s="182" t="s">
        <v>360</v>
      </c>
      <c r="E800" s="182" t="s">
        <v>361</v>
      </c>
      <c r="F800" s="182" t="s">
        <v>231</v>
      </c>
      <c r="G800" s="182" t="s">
        <v>362</v>
      </c>
      <c r="H800" s="182" t="s">
        <v>4</v>
      </c>
      <c r="I800" s="183" t="s">
        <v>363</v>
      </c>
    </row>
    <row r="801" spans="1:9" s="198" customFormat="1" ht="12.75" hidden="1">
      <c r="A801" s="184" t="s">
        <v>364</v>
      </c>
      <c r="B801" s="185"/>
      <c r="C801" s="186"/>
      <c r="D801" s="186"/>
      <c r="E801" s="186"/>
      <c r="F801" s="186"/>
      <c r="G801" s="186"/>
      <c r="H801" s="186"/>
      <c r="I801" s="186"/>
    </row>
    <row r="802" spans="1:9" s="198" customFormat="1" ht="12.75" hidden="1">
      <c r="A802" s="185" t="s">
        <v>365</v>
      </c>
      <c r="B802" s="185" t="s">
        <v>366</v>
      </c>
      <c r="C802" s="187">
        <v>27</v>
      </c>
      <c r="D802" s="187"/>
      <c r="E802" s="187">
        <f>B880</f>
        <v>2500</v>
      </c>
      <c r="F802" s="210">
        <v>0</v>
      </c>
      <c r="G802" s="209">
        <f aca="true" t="shared" si="41" ref="G802:G809">C802*E802</f>
        <v>67500</v>
      </c>
      <c r="H802" s="209">
        <f aca="true" t="shared" si="42" ref="H802:H809">F802+G802</f>
        <v>67500</v>
      </c>
      <c r="I802" s="186"/>
    </row>
    <row r="803" spans="1:9" s="198" customFormat="1" ht="12.75" hidden="1">
      <c r="A803" s="185" t="s">
        <v>367</v>
      </c>
      <c r="B803" s="185" t="s">
        <v>368</v>
      </c>
      <c r="C803" s="187">
        <f>C802</f>
        <v>27</v>
      </c>
      <c r="D803" s="187"/>
      <c r="E803" s="187">
        <v>120</v>
      </c>
      <c r="F803" s="209">
        <f aca="true" t="shared" si="43" ref="F803:F809">D803*C803</f>
        <v>0</v>
      </c>
      <c r="G803" s="209">
        <f t="shared" si="41"/>
        <v>3240</v>
      </c>
      <c r="H803" s="209">
        <f t="shared" si="42"/>
        <v>3240</v>
      </c>
      <c r="I803" s="186"/>
    </row>
    <row r="804" spans="1:9" s="198" customFormat="1" ht="12.75" hidden="1">
      <c r="A804" s="185" t="s">
        <v>369</v>
      </c>
      <c r="B804" s="185" t="s">
        <v>370</v>
      </c>
      <c r="C804" s="187">
        <f>C802</f>
        <v>27</v>
      </c>
      <c r="D804" s="187"/>
      <c r="E804" s="187">
        <v>100</v>
      </c>
      <c r="F804" s="209">
        <f t="shared" si="43"/>
        <v>0</v>
      </c>
      <c r="G804" s="209">
        <f t="shared" si="41"/>
        <v>2700</v>
      </c>
      <c r="H804" s="209">
        <f t="shared" si="42"/>
        <v>2700</v>
      </c>
      <c r="I804" s="186"/>
    </row>
    <row r="805" spans="1:9" s="198" customFormat="1" ht="25.5" hidden="1">
      <c r="A805" s="185" t="s">
        <v>371</v>
      </c>
      <c r="B805" s="185" t="s">
        <v>370</v>
      </c>
      <c r="C805" s="187">
        <f>C803</f>
        <v>27</v>
      </c>
      <c r="D805" s="187"/>
      <c r="E805" s="187">
        <v>175</v>
      </c>
      <c r="F805" s="209">
        <f t="shared" si="43"/>
        <v>0</v>
      </c>
      <c r="G805" s="209">
        <f t="shared" si="41"/>
        <v>4725</v>
      </c>
      <c r="H805" s="209">
        <f t="shared" si="42"/>
        <v>4725</v>
      </c>
      <c r="I805" s="186"/>
    </row>
    <row r="806" spans="1:9" s="198" customFormat="1" ht="12.75" hidden="1">
      <c r="A806" s="185" t="s">
        <v>372</v>
      </c>
      <c r="B806" s="185" t="s">
        <v>370</v>
      </c>
      <c r="C806" s="187">
        <v>20</v>
      </c>
      <c r="D806" s="187"/>
      <c r="E806" s="187"/>
      <c r="F806" s="209">
        <f t="shared" si="43"/>
        <v>0</v>
      </c>
      <c r="G806" s="209">
        <f t="shared" si="41"/>
        <v>0</v>
      </c>
      <c r="H806" s="209">
        <f t="shared" si="42"/>
        <v>0</v>
      </c>
      <c r="I806" s="186"/>
    </row>
    <row r="807" spans="1:9" s="198" customFormat="1" ht="25.5" hidden="1">
      <c r="A807" s="185" t="s">
        <v>373</v>
      </c>
      <c r="B807" s="185" t="s">
        <v>370</v>
      </c>
      <c r="C807" s="187">
        <f>C806</f>
        <v>20</v>
      </c>
      <c r="D807" s="187"/>
      <c r="E807" s="187"/>
      <c r="F807" s="209">
        <f t="shared" si="43"/>
        <v>0</v>
      </c>
      <c r="G807" s="209">
        <f t="shared" si="41"/>
        <v>0</v>
      </c>
      <c r="H807" s="209">
        <f t="shared" si="42"/>
        <v>0</v>
      </c>
      <c r="I807" s="186"/>
    </row>
    <row r="808" spans="1:9" s="198" customFormat="1" ht="12.75" hidden="1">
      <c r="A808" s="185" t="s">
        <v>374</v>
      </c>
      <c r="B808" s="185"/>
      <c r="C808" s="187">
        <f>C804</f>
        <v>27</v>
      </c>
      <c r="D808" s="187"/>
      <c r="E808" s="187"/>
      <c r="F808" s="209">
        <f t="shared" si="43"/>
        <v>0</v>
      </c>
      <c r="G808" s="209">
        <f t="shared" si="41"/>
        <v>0</v>
      </c>
      <c r="H808" s="209">
        <f t="shared" si="42"/>
        <v>0</v>
      </c>
      <c r="I808" s="186"/>
    </row>
    <row r="809" spans="1:9" s="198" customFormat="1" ht="12.75" hidden="1">
      <c r="A809" s="185" t="s">
        <v>375</v>
      </c>
      <c r="B809" s="185" t="s">
        <v>370</v>
      </c>
      <c r="C809" s="187">
        <v>1</v>
      </c>
      <c r="D809" s="187">
        <v>1006</v>
      </c>
      <c r="E809" s="210">
        <f>3*10*E802/25+SUM(E803:E805)+113</f>
        <v>3508</v>
      </c>
      <c r="F809" s="209">
        <f t="shared" si="43"/>
        <v>1006</v>
      </c>
      <c r="G809" s="209">
        <f t="shared" si="41"/>
        <v>3508</v>
      </c>
      <c r="H809" s="209">
        <f t="shared" si="42"/>
        <v>4514</v>
      </c>
      <c r="I809" s="186"/>
    </row>
    <row r="810" spans="1:9" s="198" customFormat="1" ht="12.75" hidden="1">
      <c r="A810" s="184" t="s">
        <v>376</v>
      </c>
      <c r="B810" s="185"/>
      <c r="C810" s="187"/>
      <c r="D810" s="187"/>
      <c r="E810" s="187"/>
      <c r="F810" s="209"/>
      <c r="G810" s="209"/>
      <c r="H810" s="209"/>
      <c r="I810" s="186"/>
    </row>
    <row r="811" spans="1:9" s="198" customFormat="1" ht="12.75" hidden="1">
      <c r="A811" s="185" t="s">
        <v>377</v>
      </c>
      <c r="B811" s="185" t="s">
        <v>378</v>
      </c>
      <c r="C811" s="187">
        <v>9</v>
      </c>
      <c r="D811" s="187"/>
      <c r="E811" s="187">
        <f>2.5*B879*4</f>
        <v>1000</v>
      </c>
      <c r="F811" s="209">
        <f>D811*C811</f>
        <v>0</v>
      </c>
      <c r="G811" s="209">
        <f>C811*E811</f>
        <v>9000</v>
      </c>
      <c r="H811" s="209">
        <f>F811+G811</f>
        <v>9000</v>
      </c>
      <c r="I811" s="186"/>
    </row>
    <row r="812" spans="1:9" s="198" customFormat="1" ht="12.75" hidden="1">
      <c r="A812" s="185" t="s">
        <v>379</v>
      </c>
      <c r="B812" s="185" t="s">
        <v>380</v>
      </c>
      <c r="C812" s="187">
        <f>C811</f>
        <v>9</v>
      </c>
      <c r="D812" s="187"/>
      <c r="E812" s="187">
        <f>2.5*4*80</f>
        <v>800</v>
      </c>
      <c r="F812" s="209">
        <f>D812*C812</f>
        <v>0</v>
      </c>
      <c r="G812" s="209">
        <f>C812*E812</f>
        <v>7200</v>
      </c>
      <c r="H812" s="209">
        <f>F812+G812</f>
        <v>7200</v>
      </c>
      <c r="I812" s="186"/>
    </row>
    <row r="813" spans="1:9" s="198" customFormat="1" ht="12.75" hidden="1">
      <c r="A813" s="185" t="s">
        <v>381</v>
      </c>
      <c r="B813" s="185" t="s">
        <v>380</v>
      </c>
      <c r="C813" s="187">
        <f>C812</f>
        <v>9</v>
      </c>
      <c r="D813" s="187"/>
      <c r="E813" s="187">
        <f>400*4</f>
        <v>1600</v>
      </c>
      <c r="F813" s="209">
        <f>D813*C813</f>
        <v>0</v>
      </c>
      <c r="G813" s="209">
        <f>C813*E813</f>
        <v>14400</v>
      </c>
      <c r="H813" s="209">
        <f>F813+G813</f>
        <v>14400</v>
      </c>
      <c r="I813" s="186"/>
    </row>
    <row r="814" spans="1:9" s="198" customFormat="1" ht="12.75" hidden="1">
      <c r="A814" s="184" t="s">
        <v>382</v>
      </c>
      <c r="B814" s="185"/>
      <c r="C814" s="187"/>
      <c r="D814" s="187"/>
      <c r="E814" s="187"/>
      <c r="F814" s="209"/>
      <c r="G814" s="209"/>
      <c r="H814" s="209"/>
      <c r="I814" s="186"/>
    </row>
    <row r="815" spans="1:9" s="198" customFormat="1" ht="12.75" hidden="1">
      <c r="A815" s="185" t="s">
        <v>435</v>
      </c>
      <c r="B815" s="185" t="s">
        <v>383</v>
      </c>
      <c r="C815" s="187">
        <f>3*2*4+42</f>
        <v>66</v>
      </c>
      <c r="D815" s="187"/>
      <c r="E815" s="187">
        <v>700</v>
      </c>
      <c r="F815" s="209">
        <f aca="true" t="shared" si="44" ref="F815:F830">D815*C815</f>
        <v>0</v>
      </c>
      <c r="G815" s="209">
        <f aca="true" t="shared" si="45" ref="G815:G830">C815*E815</f>
        <v>46200</v>
      </c>
      <c r="H815" s="209">
        <f aca="true" t="shared" si="46" ref="H815:H830">F815+G815</f>
        <v>46200</v>
      </c>
      <c r="I815" s="186"/>
    </row>
    <row r="816" spans="1:9" s="198" customFormat="1" ht="12.75" hidden="1">
      <c r="A816" s="185" t="s">
        <v>433</v>
      </c>
      <c r="B816" s="185" t="s">
        <v>368</v>
      </c>
      <c r="C816" s="187">
        <v>3</v>
      </c>
      <c r="D816" s="187"/>
      <c r="E816" s="187">
        <f>2000+1000</f>
        <v>3000</v>
      </c>
      <c r="F816" s="209">
        <f t="shared" si="44"/>
        <v>0</v>
      </c>
      <c r="G816" s="209">
        <f t="shared" si="45"/>
        <v>9000</v>
      </c>
      <c r="H816" s="209">
        <f t="shared" si="46"/>
        <v>9000</v>
      </c>
      <c r="I816" s="186"/>
    </row>
    <row r="817" spans="1:9" s="198" customFormat="1" ht="12.75" hidden="1">
      <c r="A817" s="185" t="s">
        <v>384</v>
      </c>
      <c r="B817" s="185" t="s">
        <v>368</v>
      </c>
      <c r="C817" s="187">
        <v>3</v>
      </c>
      <c r="D817" s="187"/>
      <c r="E817" s="187">
        <v>2000</v>
      </c>
      <c r="F817" s="209">
        <f t="shared" si="44"/>
        <v>0</v>
      </c>
      <c r="G817" s="209">
        <f t="shared" si="45"/>
        <v>6000</v>
      </c>
      <c r="H817" s="209">
        <f t="shared" si="46"/>
        <v>6000</v>
      </c>
      <c r="I817" s="186"/>
    </row>
    <row r="818" spans="1:9" s="198" customFormat="1" ht="12.75" hidden="1">
      <c r="A818" s="185" t="s">
        <v>385</v>
      </c>
      <c r="B818" s="185" t="s">
        <v>383</v>
      </c>
      <c r="C818" s="187">
        <v>14</v>
      </c>
      <c r="D818" s="187"/>
      <c r="E818" s="187">
        <f>20*B879</f>
        <v>2000</v>
      </c>
      <c r="F818" s="209">
        <f t="shared" si="44"/>
        <v>0</v>
      </c>
      <c r="G818" s="209">
        <f t="shared" si="45"/>
        <v>28000</v>
      </c>
      <c r="H818" s="209">
        <f t="shared" si="46"/>
        <v>28000</v>
      </c>
      <c r="I818" s="186"/>
    </row>
    <row r="819" spans="1:9" s="198" customFormat="1" ht="12.75" hidden="1">
      <c r="A819" s="185" t="s">
        <v>386</v>
      </c>
      <c r="B819" s="185" t="s">
        <v>383</v>
      </c>
      <c r="C819" s="187">
        <v>14</v>
      </c>
      <c r="D819" s="187"/>
      <c r="E819" s="187">
        <f>E818</f>
        <v>2000</v>
      </c>
      <c r="F819" s="209">
        <f t="shared" si="44"/>
        <v>0</v>
      </c>
      <c r="G819" s="209">
        <f t="shared" si="45"/>
        <v>28000</v>
      </c>
      <c r="H819" s="209">
        <f t="shared" si="46"/>
        <v>28000</v>
      </c>
      <c r="I819" s="186"/>
    </row>
    <row r="820" spans="1:9" s="198" customFormat="1" ht="25.5" hidden="1">
      <c r="A820" s="185" t="s">
        <v>387</v>
      </c>
      <c r="B820" s="185" t="s">
        <v>383</v>
      </c>
      <c r="C820" s="187">
        <f>3*4</f>
        <v>12</v>
      </c>
      <c r="D820" s="187"/>
      <c r="E820" s="187">
        <v>1200</v>
      </c>
      <c r="F820" s="209">
        <f t="shared" si="44"/>
        <v>0</v>
      </c>
      <c r="G820" s="209">
        <f t="shared" si="45"/>
        <v>14400</v>
      </c>
      <c r="H820" s="209">
        <f t="shared" si="46"/>
        <v>14400</v>
      </c>
      <c r="I820" s="186"/>
    </row>
    <row r="821" spans="1:9" s="198" customFormat="1" ht="12.75" hidden="1">
      <c r="A821" s="185" t="s">
        <v>388</v>
      </c>
      <c r="B821" s="185" t="s">
        <v>389</v>
      </c>
      <c r="C821" s="187">
        <v>4</v>
      </c>
      <c r="D821" s="187"/>
      <c r="E821" s="187">
        <v>25000</v>
      </c>
      <c r="F821" s="209">
        <f t="shared" si="44"/>
        <v>0</v>
      </c>
      <c r="G821" s="209">
        <f t="shared" si="45"/>
        <v>100000</v>
      </c>
      <c r="H821" s="209">
        <f t="shared" si="46"/>
        <v>100000</v>
      </c>
      <c r="I821" s="186"/>
    </row>
    <row r="822" spans="1:9" s="198" customFormat="1" ht="12.75" hidden="1">
      <c r="A822" s="185" t="s">
        <v>390</v>
      </c>
      <c r="B822" s="185" t="s">
        <v>383</v>
      </c>
      <c r="C822" s="187">
        <v>42</v>
      </c>
      <c r="D822" s="187"/>
      <c r="E822" s="187">
        <v>400</v>
      </c>
      <c r="F822" s="209">
        <f t="shared" si="44"/>
        <v>0</v>
      </c>
      <c r="G822" s="209">
        <f t="shared" si="45"/>
        <v>16800</v>
      </c>
      <c r="H822" s="209">
        <f t="shared" si="46"/>
        <v>16800</v>
      </c>
      <c r="I822" s="186"/>
    </row>
    <row r="823" spans="1:9" s="198" customFormat="1" ht="12.75" hidden="1">
      <c r="A823" s="185" t="s">
        <v>391</v>
      </c>
      <c r="B823" s="185" t="s">
        <v>383</v>
      </c>
      <c r="C823" s="187">
        <v>42</v>
      </c>
      <c r="D823" s="187"/>
      <c r="E823" s="187">
        <v>200</v>
      </c>
      <c r="F823" s="209">
        <f t="shared" si="44"/>
        <v>0</v>
      </c>
      <c r="G823" s="209">
        <f t="shared" si="45"/>
        <v>8400</v>
      </c>
      <c r="H823" s="209">
        <f t="shared" si="46"/>
        <v>8400</v>
      </c>
      <c r="I823" s="186"/>
    </row>
    <row r="824" spans="1:9" s="198" customFormat="1" ht="25.5" hidden="1">
      <c r="A824" s="185" t="s">
        <v>392</v>
      </c>
      <c r="B824" s="185" t="s">
        <v>389</v>
      </c>
      <c r="C824" s="187">
        <v>4</v>
      </c>
      <c r="D824" s="187"/>
      <c r="E824" s="187">
        <v>35000</v>
      </c>
      <c r="F824" s="209">
        <f t="shared" si="44"/>
        <v>0</v>
      </c>
      <c r="G824" s="209">
        <f t="shared" si="45"/>
        <v>140000</v>
      </c>
      <c r="H824" s="209">
        <f t="shared" si="46"/>
        <v>140000</v>
      </c>
      <c r="I824" s="186"/>
    </row>
    <row r="825" spans="1:9" s="198" customFormat="1" ht="25.5" hidden="1">
      <c r="A825" s="185" t="s">
        <v>393</v>
      </c>
      <c r="B825" s="185" t="s">
        <v>389</v>
      </c>
      <c r="C825" s="187">
        <v>4</v>
      </c>
      <c r="D825" s="187"/>
      <c r="E825" s="187">
        <v>15000</v>
      </c>
      <c r="F825" s="209">
        <f t="shared" si="44"/>
        <v>0</v>
      </c>
      <c r="G825" s="209">
        <f t="shared" si="45"/>
        <v>60000</v>
      </c>
      <c r="H825" s="209">
        <f t="shared" si="46"/>
        <v>60000</v>
      </c>
      <c r="I825" s="186"/>
    </row>
    <row r="826" spans="1:9" s="198" customFormat="1" ht="12.75" hidden="1">
      <c r="A826" s="185" t="s">
        <v>394</v>
      </c>
      <c r="B826" s="185" t="s">
        <v>395</v>
      </c>
      <c r="C826" s="187">
        <v>1</v>
      </c>
      <c r="D826" s="187"/>
      <c r="E826" s="187">
        <f>SUM(E802:E808)</f>
        <v>2895</v>
      </c>
      <c r="F826" s="209">
        <f t="shared" si="44"/>
        <v>0</v>
      </c>
      <c r="G826" s="209">
        <f t="shared" si="45"/>
        <v>2895</v>
      </c>
      <c r="H826" s="209">
        <f t="shared" si="46"/>
        <v>2895</v>
      </c>
      <c r="I826" s="186"/>
    </row>
    <row r="827" spans="1:9" s="198" customFormat="1" ht="38.25" hidden="1">
      <c r="A827" s="185" t="s">
        <v>2</v>
      </c>
      <c r="B827" s="185" t="s">
        <v>395</v>
      </c>
      <c r="C827" s="187">
        <v>1</v>
      </c>
      <c r="D827" s="187"/>
      <c r="E827" s="187">
        <f>E826*1.6</f>
        <v>4632</v>
      </c>
      <c r="F827" s="209">
        <f t="shared" si="44"/>
        <v>0</v>
      </c>
      <c r="G827" s="209">
        <f t="shared" si="45"/>
        <v>4632</v>
      </c>
      <c r="H827" s="209">
        <f t="shared" si="46"/>
        <v>4632</v>
      </c>
      <c r="I827" s="186"/>
    </row>
    <row r="828" spans="1:9" s="198" customFormat="1" ht="38.25" hidden="1">
      <c r="A828" s="185" t="s">
        <v>396</v>
      </c>
      <c r="B828" s="185" t="s">
        <v>370</v>
      </c>
      <c r="C828" s="187">
        <v>1</v>
      </c>
      <c r="D828" s="187"/>
      <c r="E828" s="187">
        <v>30000</v>
      </c>
      <c r="F828" s="209">
        <f t="shared" si="44"/>
        <v>0</v>
      </c>
      <c r="G828" s="209">
        <f t="shared" si="45"/>
        <v>30000</v>
      </c>
      <c r="H828" s="209">
        <f t="shared" si="46"/>
        <v>30000</v>
      </c>
      <c r="I828" s="186"/>
    </row>
    <row r="829" spans="1:9" s="198" customFormat="1" ht="25.5" hidden="1">
      <c r="A829" s="185" t="s">
        <v>431</v>
      </c>
      <c r="B829" s="185" t="s">
        <v>370</v>
      </c>
      <c r="C829" s="187">
        <v>1</v>
      </c>
      <c r="D829" s="187"/>
      <c r="E829" s="187">
        <v>20000</v>
      </c>
      <c r="F829" s="209">
        <f>D829*C829</f>
        <v>0</v>
      </c>
      <c r="G829" s="209">
        <f>C829*E829</f>
        <v>20000</v>
      </c>
      <c r="H829" s="209">
        <f>F829+G829</f>
        <v>20000</v>
      </c>
      <c r="I829" s="186"/>
    </row>
    <row r="830" spans="1:9" s="198" customFormat="1" ht="25.5" hidden="1">
      <c r="A830" s="185" t="s">
        <v>432</v>
      </c>
      <c r="B830" s="185" t="s">
        <v>370</v>
      </c>
      <c r="C830" s="187">
        <v>1</v>
      </c>
      <c r="D830" s="187">
        <f>D829</f>
        <v>0</v>
      </c>
      <c r="E830" s="187">
        <v>30000</v>
      </c>
      <c r="F830" s="209">
        <f t="shared" si="44"/>
        <v>0</v>
      </c>
      <c r="G830" s="209">
        <f t="shared" si="45"/>
        <v>30000</v>
      </c>
      <c r="H830" s="209">
        <f t="shared" si="46"/>
        <v>30000</v>
      </c>
      <c r="I830" s="186"/>
    </row>
    <row r="831" spans="1:9" s="198" customFormat="1" ht="12.75" hidden="1">
      <c r="A831" s="185" t="s">
        <v>397</v>
      </c>
      <c r="B831" s="185" t="s">
        <v>398</v>
      </c>
      <c r="C831" s="187">
        <v>4</v>
      </c>
      <c r="D831" s="187"/>
      <c r="E831" s="187">
        <f>3*E802</f>
        <v>7500</v>
      </c>
      <c r="F831" s="209">
        <f>D831*C831</f>
        <v>0</v>
      </c>
      <c r="G831" s="209">
        <f>C831*E831</f>
        <v>30000</v>
      </c>
      <c r="H831" s="209">
        <f>F831+G831</f>
        <v>30000</v>
      </c>
      <c r="I831" s="186"/>
    </row>
    <row r="832" spans="1:9" s="198" customFormat="1" ht="12.75" hidden="1">
      <c r="A832" s="188" t="s">
        <v>399</v>
      </c>
      <c r="B832" s="188"/>
      <c r="C832" s="189"/>
      <c r="D832" s="189"/>
      <c r="E832" s="189"/>
      <c r="F832" s="211">
        <f>SUM(F801:F831)</f>
        <v>1006</v>
      </c>
      <c r="G832" s="211">
        <f>SUM(G801:G831)</f>
        <v>686600</v>
      </c>
      <c r="H832" s="211">
        <f>SUM(H801:H831)</f>
        <v>687606</v>
      </c>
      <c r="I832" s="186"/>
    </row>
    <row r="833" s="198" customFormat="1" ht="12.75" hidden="1"/>
    <row r="834" s="198" customFormat="1" ht="12.75" hidden="1"/>
    <row r="835" s="198" customFormat="1" ht="12.75" hidden="1">
      <c r="A835" s="197" t="s">
        <v>400</v>
      </c>
    </row>
    <row r="836" spans="1:5" s="198" customFormat="1" ht="12.75" hidden="1">
      <c r="A836" s="182" t="s">
        <v>357</v>
      </c>
      <c r="B836" s="182" t="s">
        <v>231</v>
      </c>
      <c r="C836" s="182" t="s">
        <v>362</v>
      </c>
      <c r="D836" s="182" t="s">
        <v>4</v>
      </c>
      <c r="E836" s="183" t="s">
        <v>363</v>
      </c>
    </row>
    <row r="837" spans="1:9" s="198" customFormat="1" ht="12.75" hidden="1">
      <c r="A837" s="212" t="s">
        <v>322</v>
      </c>
      <c r="B837" s="209"/>
      <c r="C837" s="209"/>
      <c r="D837" s="209"/>
      <c r="E837" s="213"/>
      <c r="F837" s="217"/>
      <c r="G837" s="217"/>
      <c r="H837" s="217"/>
      <c r="I837" s="217"/>
    </row>
    <row r="838" spans="1:5" s="198" customFormat="1" ht="12.75" hidden="1">
      <c r="A838" s="212" t="s">
        <v>331</v>
      </c>
      <c r="B838" s="209"/>
      <c r="C838" s="209"/>
      <c r="D838" s="209"/>
      <c r="E838" s="213"/>
    </row>
    <row r="839" spans="1:5" s="198" customFormat="1" ht="12.75" hidden="1">
      <c r="A839" s="212" t="s">
        <v>332</v>
      </c>
      <c r="B839" s="209"/>
      <c r="C839" s="209"/>
      <c r="D839" s="209"/>
      <c r="E839" s="213"/>
    </row>
    <row r="840" spans="1:5" s="198" customFormat="1" ht="12.75" hidden="1">
      <c r="A840" s="212" t="s">
        <v>333</v>
      </c>
      <c r="B840" s="209"/>
      <c r="C840" s="209"/>
      <c r="D840" s="209"/>
      <c r="E840" s="213"/>
    </row>
    <row r="841" spans="1:5" s="198" customFormat="1" ht="12.75" hidden="1">
      <c r="A841" s="212" t="s">
        <v>325</v>
      </c>
      <c r="B841" s="209"/>
      <c r="C841" s="209"/>
      <c r="D841" s="209"/>
      <c r="E841" s="213"/>
    </row>
    <row r="842" spans="1:5" s="198" customFormat="1" ht="12.75" hidden="1">
      <c r="A842" s="185" t="s">
        <v>321</v>
      </c>
      <c r="B842" s="187">
        <f>'DP2'!G136</f>
        <v>44450</v>
      </c>
      <c r="C842" s="187">
        <f>'DP2'!H136</f>
        <v>90160</v>
      </c>
      <c r="D842" s="187">
        <f>B842+C842</f>
        <v>134610</v>
      </c>
      <c r="E842" s="186"/>
    </row>
    <row r="843" spans="1:5" s="198" customFormat="1" ht="12.75" hidden="1">
      <c r="A843" s="214" t="s">
        <v>399</v>
      </c>
      <c r="B843" s="211">
        <f>SUM(B837:B842)</f>
        <v>44450</v>
      </c>
      <c r="C843" s="211">
        <f>SUM(C837:C842)</f>
        <v>90160</v>
      </c>
      <c r="D843" s="211">
        <f>SUM(D837:D842)</f>
        <v>134610</v>
      </c>
      <c r="E843" s="213"/>
    </row>
    <row r="844" spans="1:5" s="198" customFormat="1" ht="12.75" hidden="1">
      <c r="A844" s="190"/>
      <c r="B844" s="191"/>
      <c r="C844" s="191"/>
      <c r="D844" s="191"/>
      <c r="E844" s="199"/>
    </row>
    <row r="845" s="198" customFormat="1" ht="12.75" hidden="1"/>
    <row r="846" spans="1:2" s="198" customFormat="1" ht="12.75" hidden="1">
      <c r="A846" s="197" t="s">
        <v>401</v>
      </c>
      <c r="B846" s="197"/>
    </row>
    <row r="847" spans="1:9" s="198" customFormat="1" ht="12.75" hidden="1">
      <c r="A847" s="182" t="s">
        <v>402</v>
      </c>
      <c r="B847" s="182" t="s">
        <v>358</v>
      </c>
      <c r="C847" s="182" t="s">
        <v>359</v>
      </c>
      <c r="D847" s="182" t="s">
        <v>360</v>
      </c>
      <c r="E847" s="182" t="s">
        <v>361</v>
      </c>
      <c r="F847" s="182" t="s">
        <v>231</v>
      </c>
      <c r="G847" s="182" t="s">
        <v>362</v>
      </c>
      <c r="H847" s="182" t="s">
        <v>4</v>
      </c>
      <c r="I847" s="183" t="s">
        <v>363</v>
      </c>
    </row>
    <row r="848" spans="1:9" s="198" customFormat="1" ht="12.75" hidden="1">
      <c r="A848" s="185" t="s">
        <v>403</v>
      </c>
      <c r="B848" s="185" t="s">
        <v>383</v>
      </c>
      <c r="C848" s="187"/>
      <c r="D848" s="187"/>
      <c r="E848" s="187"/>
      <c r="F848" s="187"/>
      <c r="G848" s="187"/>
      <c r="H848" s="187"/>
      <c r="I848" s="186"/>
    </row>
    <row r="849" spans="1:9" s="198" customFormat="1" ht="12.75" hidden="1">
      <c r="A849" s="185" t="s">
        <v>433</v>
      </c>
      <c r="B849" s="185" t="s">
        <v>368</v>
      </c>
      <c r="C849" s="187"/>
      <c r="D849" s="187"/>
      <c r="E849" s="187"/>
      <c r="F849" s="187"/>
      <c r="G849" s="187"/>
      <c r="H849" s="187"/>
      <c r="I849" s="186"/>
    </row>
    <row r="850" spans="1:9" s="198" customFormat="1" ht="25.5" hidden="1">
      <c r="A850" s="185" t="s">
        <v>387</v>
      </c>
      <c r="B850" s="185" t="s">
        <v>383</v>
      </c>
      <c r="C850" s="187"/>
      <c r="D850" s="187"/>
      <c r="E850" s="187"/>
      <c r="F850" s="187"/>
      <c r="G850" s="187"/>
      <c r="H850" s="187"/>
      <c r="I850" s="186"/>
    </row>
    <row r="851" spans="1:9" s="198" customFormat="1" ht="12.75" hidden="1">
      <c r="A851" s="185" t="s">
        <v>434</v>
      </c>
      <c r="B851" s="185" t="s">
        <v>383</v>
      </c>
      <c r="C851" s="187"/>
      <c r="D851" s="187"/>
      <c r="E851" s="187"/>
      <c r="F851" s="187"/>
      <c r="G851" s="187"/>
      <c r="H851" s="187"/>
      <c r="I851" s="186"/>
    </row>
    <row r="852" spans="1:9" s="198" customFormat="1" ht="12.75" hidden="1">
      <c r="A852" s="185" t="s">
        <v>391</v>
      </c>
      <c r="B852" s="185" t="s">
        <v>383</v>
      </c>
      <c r="C852" s="187"/>
      <c r="D852" s="187"/>
      <c r="E852" s="187"/>
      <c r="F852" s="187"/>
      <c r="G852" s="187"/>
      <c r="H852" s="187"/>
      <c r="I852" s="186"/>
    </row>
    <row r="853" spans="1:9" s="198" customFormat="1" ht="12.75" hidden="1">
      <c r="A853" s="188" t="s">
        <v>399</v>
      </c>
      <c r="B853" s="188"/>
      <c r="C853" s="189"/>
      <c r="D853" s="189"/>
      <c r="E853" s="189"/>
      <c r="F853" s="189">
        <f>SUM(F848:F852)</f>
        <v>0</v>
      </c>
      <c r="G853" s="189">
        <f>SUM(G848:G852)</f>
        <v>0</v>
      </c>
      <c r="H853" s="189">
        <f>SUM(H848:H852)</f>
        <v>0</v>
      </c>
      <c r="I853" s="186"/>
    </row>
    <row r="854" spans="1:9" s="198" customFormat="1" ht="12.75" hidden="1">
      <c r="A854" s="190"/>
      <c r="B854" s="190"/>
      <c r="C854" s="191"/>
      <c r="D854" s="191"/>
      <c r="E854" s="191"/>
      <c r="F854" s="191"/>
      <c r="G854" s="191"/>
      <c r="H854" s="191"/>
      <c r="I854" s="199"/>
    </row>
    <row r="855" spans="1:9" s="198" customFormat="1" ht="12.75" hidden="1">
      <c r="A855" s="190"/>
      <c r="B855" s="190"/>
      <c r="C855" s="191"/>
      <c r="D855" s="191"/>
      <c r="E855" s="191"/>
      <c r="F855" s="191"/>
      <c r="G855" s="191"/>
      <c r="H855" s="191"/>
      <c r="I855" s="199"/>
    </row>
    <row r="856" s="198" customFormat="1" ht="12.75" hidden="1">
      <c r="A856" s="197" t="s">
        <v>404</v>
      </c>
    </row>
    <row r="857" spans="1:5" s="198" customFormat="1" ht="12.75" hidden="1">
      <c r="A857" s="182" t="s">
        <v>357</v>
      </c>
      <c r="B857" s="182" t="s">
        <v>231</v>
      </c>
      <c r="C857" s="182" t="s">
        <v>362</v>
      </c>
      <c r="D857" s="182" t="s">
        <v>4</v>
      </c>
      <c r="E857" s="183" t="s">
        <v>363</v>
      </c>
    </row>
    <row r="858" spans="1:5" s="198" customFormat="1" ht="12.75" hidden="1">
      <c r="A858" s="185" t="s">
        <v>322</v>
      </c>
      <c r="B858" s="187"/>
      <c r="C858" s="187"/>
      <c r="D858" s="187"/>
      <c r="E858" s="186"/>
    </row>
    <row r="859" spans="1:5" s="198" customFormat="1" ht="12.75" hidden="1">
      <c r="A859" s="185" t="s">
        <v>331</v>
      </c>
      <c r="B859" s="187"/>
      <c r="C859" s="187"/>
      <c r="D859" s="187"/>
      <c r="E859" s="186"/>
    </row>
    <row r="860" spans="1:5" s="198" customFormat="1" ht="12.75" hidden="1">
      <c r="A860" s="185" t="s">
        <v>332</v>
      </c>
      <c r="B860" s="187"/>
      <c r="C860" s="187"/>
      <c r="D860" s="187"/>
      <c r="E860" s="186"/>
    </row>
    <row r="861" spans="1:5" s="198" customFormat="1" ht="12.75" hidden="1">
      <c r="A861" s="185" t="s">
        <v>333</v>
      </c>
      <c r="B861" s="187"/>
      <c r="C861" s="187"/>
      <c r="D861" s="187"/>
      <c r="E861" s="186"/>
    </row>
    <row r="862" spans="1:5" s="198" customFormat="1" ht="12.75" hidden="1">
      <c r="A862" s="185" t="s">
        <v>325</v>
      </c>
      <c r="B862" s="187"/>
      <c r="C862" s="187"/>
      <c r="D862" s="187"/>
      <c r="E862" s="186"/>
    </row>
    <row r="863" spans="1:5" s="198" customFormat="1" ht="12.75" hidden="1">
      <c r="A863" s="185" t="s">
        <v>321</v>
      </c>
      <c r="B863" s="187">
        <f>F832+B842</f>
        <v>45456</v>
      </c>
      <c r="C863" s="187">
        <f>G832+C842</f>
        <v>776760</v>
      </c>
      <c r="D863" s="187">
        <f>B863+C863</f>
        <v>822216</v>
      </c>
      <c r="E863" s="186"/>
    </row>
    <row r="864" spans="1:5" s="198" customFormat="1" ht="12.75" hidden="1">
      <c r="A864" s="188" t="s">
        <v>399</v>
      </c>
      <c r="B864" s="189">
        <f>SUM(B858:B863)</f>
        <v>45456</v>
      </c>
      <c r="C864" s="189">
        <f>SUM(C858:C863)</f>
        <v>776760</v>
      </c>
      <c r="D864" s="189">
        <f>SUM(D858:D863)</f>
        <v>822216</v>
      </c>
      <c r="E864" s="186"/>
    </row>
    <row r="865" spans="1:9" s="198" customFormat="1" ht="12.75" hidden="1">
      <c r="A865" s="190"/>
      <c r="B865" s="190"/>
      <c r="C865" s="191"/>
      <c r="D865" s="191"/>
      <c r="E865" s="191"/>
      <c r="F865" s="191"/>
      <c r="G865" s="191"/>
      <c r="H865" s="191"/>
      <c r="I865" s="199"/>
    </row>
    <row r="866" s="198" customFormat="1" ht="12.75" hidden="1"/>
    <row r="867" s="198" customFormat="1" ht="12.75" hidden="1"/>
    <row r="868" s="198" customFormat="1" ht="12.75" hidden="1"/>
    <row r="869" s="198" customFormat="1" ht="12.75" hidden="1"/>
    <row r="870" s="198" customFormat="1" ht="12.75" hidden="1"/>
    <row r="871" s="198" customFormat="1" ht="12.75" hidden="1"/>
    <row r="872" s="198" customFormat="1" ht="12.75" hidden="1"/>
    <row r="873" s="198" customFormat="1" ht="12.75" hidden="1"/>
    <row r="874" spans="1:2" s="198" customFormat="1" ht="24.75" hidden="1">
      <c r="A874" s="192" t="s">
        <v>357</v>
      </c>
      <c r="B874" s="183" t="s">
        <v>405</v>
      </c>
    </row>
    <row r="875" spans="1:2" s="198" customFormat="1" ht="12.75" hidden="1">
      <c r="A875" s="193" t="s">
        <v>365</v>
      </c>
      <c r="B875" s="194"/>
    </row>
    <row r="876" spans="1:2" s="198" customFormat="1" ht="12.75" hidden="1">
      <c r="A876" s="185" t="s">
        <v>406</v>
      </c>
      <c r="B876" s="194">
        <v>1</v>
      </c>
    </row>
    <row r="877" spans="1:2" s="198" customFormat="1" ht="12.75" hidden="1">
      <c r="A877" s="185" t="s">
        <v>407</v>
      </c>
      <c r="B877" s="194">
        <v>25</v>
      </c>
    </row>
    <row r="878" spans="1:2" s="198" customFormat="1" ht="12.75" hidden="1">
      <c r="A878" s="185" t="s">
        <v>408</v>
      </c>
      <c r="B878" s="194">
        <v>15</v>
      </c>
    </row>
    <row r="879" spans="1:2" s="198" customFormat="1" ht="12.75" hidden="1">
      <c r="A879" s="185" t="s">
        <v>409</v>
      </c>
      <c r="B879" s="194">
        <v>100</v>
      </c>
    </row>
    <row r="880" spans="1:2" s="198" customFormat="1" ht="12.75" hidden="1">
      <c r="A880" s="195" t="s">
        <v>410</v>
      </c>
      <c r="B880" s="194">
        <f>B876*B877*B879</f>
        <v>2500</v>
      </c>
    </row>
    <row r="881" spans="1:2" s="198" customFormat="1" ht="12.75" hidden="1">
      <c r="A881" s="195" t="s">
        <v>411</v>
      </c>
      <c r="B881" s="194">
        <f>B876*B877*B878</f>
        <v>375</v>
      </c>
    </row>
    <row r="882" spans="1:2" s="198" customFormat="1" ht="12.75" hidden="1">
      <c r="A882" s="193" t="s">
        <v>412</v>
      </c>
      <c r="B882" s="196"/>
    </row>
    <row r="883" spans="1:2" s="198" customFormat="1" ht="12.75" hidden="1">
      <c r="A883" s="185" t="s">
        <v>413</v>
      </c>
      <c r="B883" s="194">
        <v>150</v>
      </c>
    </row>
    <row r="884" spans="1:2" s="198" customFormat="1" ht="12.75" hidden="1">
      <c r="A884" s="185" t="s">
        <v>369</v>
      </c>
      <c r="B884" s="194"/>
    </row>
    <row r="885" spans="1:2" s="198" customFormat="1" ht="25.5" hidden="1">
      <c r="A885" s="185" t="s">
        <v>371</v>
      </c>
      <c r="B885" s="194"/>
    </row>
    <row r="886" spans="1:2" s="198" customFormat="1" ht="12.75" hidden="1">
      <c r="A886" s="195" t="s">
        <v>414</v>
      </c>
      <c r="B886" s="194">
        <f>SUM(B883:B885)</f>
        <v>150</v>
      </c>
    </row>
    <row r="887" spans="1:2" s="198" customFormat="1" ht="12.75" hidden="1">
      <c r="A887" s="193" t="s">
        <v>415</v>
      </c>
      <c r="B887" s="194"/>
    </row>
    <row r="888" spans="1:2" s="198" customFormat="1" ht="12.75" hidden="1">
      <c r="A888" s="185" t="s">
        <v>372</v>
      </c>
      <c r="B888" s="194"/>
    </row>
    <row r="889" spans="1:2" s="198" customFormat="1" ht="25.5" hidden="1">
      <c r="A889" s="185" t="s">
        <v>373</v>
      </c>
      <c r="B889" s="194"/>
    </row>
    <row r="890" spans="1:2" s="198" customFormat="1" ht="12.75" hidden="1">
      <c r="A890" s="185" t="s">
        <v>374</v>
      </c>
      <c r="B890" s="194"/>
    </row>
    <row r="891" spans="1:2" s="198" customFormat="1" ht="12.75" hidden="1">
      <c r="A891" s="195" t="s">
        <v>416</v>
      </c>
      <c r="B891" s="194">
        <f>SUM(B888:B890)</f>
        <v>0</v>
      </c>
    </row>
    <row r="892" spans="1:2" s="198" customFormat="1" ht="12.75" hidden="1">
      <c r="A892" s="193" t="s">
        <v>417</v>
      </c>
      <c r="B892" s="200">
        <f>B880+B886</f>
        <v>2650</v>
      </c>
    </row>
    <row r="893" spans="1:2" s="198" customFormat="1" ht="12.75" hidden="1">
      <c r="A893" s="193" t="s">
        <v>418</v>
      </c>
      <c r="B893" s="200">
        <f>B881+B891</f>
        <v>375</v>
      </c>
    </row>
    <row r="894" spans="1:2" s="198" customFormat="1" ht="12.75" hidden="1">
      <c r="A894" s="188" t="s">
        <v>399</v>
      </c>
      <c r="B894" s="200">
        <f>B892+B893</f>
        <v>3025</v>
      </c>
    </row>
    <row r="895" s="198" customFormat="1" ht="12.75" hidden="1"/>
    <row r="896" s="198" customFormat="1" ht="12.75" hidden="1"/>
    <row r="897" spans="1:6" s="198" customFormat="1" ht="12.75" hidden="1">
      <c r="A897" s="204"/>
      <c r="B897" s="204" t="s">
        <v>429</v>
      </c>
      <c r="C897" s="204" t="s">
        <v>430</v>
      </c>
      <c r="D897" s="204"/>
      <c r="E897" s="201"/>
      <c r="F897" s="201"/>
    </row>
    <row r="898" spans="1:6" s="198" customFormat="1" ht="12.75" hidden="1">
      <c r="A898" s="205" t="s">
        <v>109</v>
      </c>
      <c r="B898" s="204"/>
      <c r="C898" s="204"/>
      <c r="D898" s="204"/>
      <c r="E898" s="201"/>
      <c r="F898" s="201"/>
    </row>
    <row r="899" spans="1:4" s="198" customFormat="1" ht="12.75" hidden="1">
      <c r="A899" s="206" t="s">
        <v>385</v>
      </c>
      <c r="B899" s="208">
        <f>F818</f>
        <v>0</v>
      </c>
      <c r="C899" s="208">
        <v>40000</v>
      </c>
      <c r="D899" s="204"/>
    </row>
    <row r="900" spans="1:4" s="198" customFormat="1" ht="12.75" hidden="1">
      <c r="A900" s="206" t="s">
        <v>386</v>
      </c>
      <c r="B900" s="208">
        <f>F819</f>
        <v>0</v>
      </c>
      <c r="C900" s="208">
        <v>40000</v>
      </c>
      <c r="D900" s="204"/>
    </row>
    <row r="901" spans="1:4" s="198" customFormat="1" ht="12.75" hidden="1">
      <c r="A901" s="207" t="s">
        <v>108</v>
      </c>
      <c r="B901" s="204"/>
      <c r="C901" s="204"/>
      <c r="D901" s="204"/>
    </row>
    <row r="902" spans="1:4" s="198" customFormat="1" ht="12.75" hidden="1">
      <c r="A902" s="206" t="s">
        <v>442</v>
      </c>
      <c r="B902" s="208">
        <f>F824</f>
        <v>0</v>
      </c>
      <c r="C902" s="208">
        <v>80000</v>
      </c>
      <c r="D902" s="204"/>
    </row>
    <row r="903" spans="1:4" s="198" customFormat="1" ht="12.75" hidden="1">
      <c r="A903" s="206" t="s">
        <v>443</v>
      </c>
      <c r="B903" s="208">
        <f>F829</f>
        <v>0</v>
      </c>
      <c r="C903" s="208">
        <v>50000</v>
      </c>
      <c r="D903" s="204"/>
    </row>
    <row r="904" spans="1:4" s="198" customFormat="1" ht="12.75" hidden="1">
      <c r="A904" s="206" t="s">
        <v>444</v>
      </c>
      <c r="B904" s="208">
        <f>F830</f>
        <v>0</v>
      </c>
      <c r="C904" s="208">
        <v>40000</v>
      </c>
      <c r="D904" s="204"/>
    </row>
    <row r="905" spans="1:4" s="198" customFormat="1" ht="12.75" hidden="1">
      <c r="A905" s="206" t="s">
        <v>445</v>
      </c>
      <c r="B905" s="208">
        <f>F828</f>
        <v>0</v>
      </c>
      <c r="C905" s="208">
        <v>40000</v>
      </c>
      <c r="D905" s="204"/>
    </row>
    <row r="906" spans="1:4" s="198" customFormat="1" ht="12.75" hidden="1">
      <c r="A906" s="206" t="s">
        <v>446</v>
      </c>
      <c r="B906" s="208">
        <f>B843</f>
        <v>44450</v>
      </c>
      <c r="C906" s="208">
        <v>70000</v>
      </c>
      <c r="D906" s="204"/>
    </row>
    <row r="907" spans="1:4" s="198" customFormat="1" ht="12.75" hidden="1">
      <c r="A907" s="207" t="s">
        <v>95</v>
      </c>
      <c r="B907" s="204"/>
      <c r="C907" s="204"/>
      <c r="D907" s="204"/>
    </row>
    <row r="908" spans="1:4" s="198" customFormat="1" ht="25.5" hidden="1">
      <c r="A908" s="206" t="s">
        <v>387</v>
      </c>
      <c r="B908" s="208">
        <f>F820+F850</f>
        <v>0</v>
      </c>
      <c r="C908" s="208">
        <v>15000</v>
      </c>
      <c r="D908" s="204"/>
    </row>
    <row r="909" spans="1:4" s="198" customFormat="1" ht="12.75" hidden="1">
      <c r="A909" s="207" t="s">
        <v>91</v>
      </c>
      <c r="B909" s="204"/>
      <c r="C909" s="204"/>
      <c r="D909" s="204"/>
    </row>
    <row r="910" spans="1:4" s="198" customFormat="1" ht="12.75" hidden="1">
      <c r="A910" s="206" t="s">
        <v>427</v>
      </c>
      <c r="B910" s="208">
        <f>SUM(F811:F813)</f>
        <v>0</v>
      </c>
      <c r="C910" s="208">
        <v>40000</v>
      </c>
      <c r="D910" s="204"/>
    </row>
    <row r="911" spans="1:4" s="198" customFormat="1" ht="12.75" hidden="1">
      <c r="A911" s="207" t="s">
        <v>105</v>
      </c>
      <c r="C911" s="204"/>
      <c r="D911" s="204"/>
    </row>
    <row r="912" spans="1:4" s="198" customFormat="1" ht="38.25" hidden="1">
      <c r="A912" s="206" t="s">
        <v>205</v>
      </c>
      <c r="B912" s="208">
        <f>F825</f>
        <v>0</v>
      </c>
      <c r="C912" s="208">
        <v>50000</v>
      </c>
      <c r="D912" s="204"/>
    </row>
    <row r="913" spans="1:4" s="198" customFormat="1" ht="12.75" hidden="1">
      <c r="A913" s="206" t="s">
        <v>397</v>
      </c>
      <c r="B913" s="208">
        <f>F831</f>
        <v>0</v>
      </c>
      <c r="C913" s="208">
        <v>40000</v>
      </c>
      <c r="D913" s="204"/>
    </row>
    <row r="914" spans="1:4" s="198" customFormat="1" ht="12.75" hidden="1">
      <c r="A914" s="207" t="s">
        <v>94</v>
      </c>
      <c r="B914" s="204"/>
      <c r="C914" s="204"/>
      <c r="D914" s="204"/>
    </row>
    <row r="915" spans="1:4" s="198" customFormat="1" ht="12.75" hidden="1">
      <c r="A915" s="206" t="s">
        <v>375</v>
      </c>
      <c r="B915" s="208">
        <f>F809</f>
        <v>1006</v>
      </c>
      <c r="C915" s="204">
        <v>5000</v>
      </c>
      <c r="D915" s="204"/>
    </row>
    <row r="916" spans="1:4" s="198" customFormat="1" ht="12.75" hidden="1">
      <c r="A916" s="206" t="s">
        <v>453</v>
      </c>
      <c r="B916" s="208">
        <f>F826</f>
        <v>0</v>
      </c>
      <c r="C916" s="208">
        <v>5000</v>
      </c>
      <c r="D916" s="204"/>
    </row>
    <row r="917" spans="1:4" s="198" customFormat="1" ht="12.75" hidden="1">
      <c r="A917" s="206" t="s">
        <v>454</v>
      </c>
      <c r="B917" s="208">
        <f>F827</f>
        <v>0</v>
      </c>
      <c r="C917" s="208">
        <v>5000</v>
      </c>
      <c r="D917" s="204"/>
    </row>
    <row r="918" spans="1:4" s="198" customFormat="1" ht="12.75" hidden="1">
      <c r="A918" s="206" t="s">
        <v>426</v>
      </c>
      <c r="B918" s="208">
        <f>SUM(F802:F808)</f>
        <v>0</v>
      </c>
      <c r="C918" s="208">
        <v>68000</v>
      </c>
      <c r="D918" s="204"/>
    </row>
    <row r="919" spans="1:4" s="198" customFormat="1" ht="12.75" hidden="1">
      <c r="A919" s="207" t="s">
        <v>103</v>
      </c>
      <c r="B919" s="204"/>
      <c r="C919" s="204"/>
      <c r="D919" s="204"/>
    </row>
    <row r="920" spans="1:4" s="198" customFormat="1" ht="12.75" hidden="1">
      <c r="A920" s="206" t="s">
        <v>58</v>
      </c>
      <c r="B920" s="208">
        <f>F817</f>
        <v>0</v>
      </c>
      <c r="C920" s="208">
        <v>16000</v>
      </c>
      <c r="D920" s="204"/>
    </row>
    <row r="921" spans="1:4" s="198" customFormat="1" ht="12.75" hidden="1">
      <c r="A921" s="207" t="s">
        <v>90</v>
      </c>
      <c r="B921" s="204"/>
      <c r="C921" s="204"/>
      <c r="D921" s="204"/>
    </row>
    <row r="922" spans="1:4" s="198" customFormat="1" ht="12.75" hidden="1">
      <c r="A922" s="206" t="s">
        <v>354</v>
      </c>
      <c r="B922" s="208">
        <f>F816+F849</f>
        <v>0</v>
      </c>
      <c r="C922" s="208">
        <v>20460</v>
      </c>
      <c r="D922" s="204"/>
    </row>
    <row r="923" spans="1:4" s="198" customFormat="1" ht="12.75" hidden="1">
      <c r="A923" s="206" t="s">
        <v>388</v>
      </c>
      <c r="B923" s="208">
        <f>F821</f>
        <v>0</v>
      </c>
      <c r="C923" s="208">
        <v>80000</v>
      </c>
      <c r="D923" s="204"/>
    </row>
    <row r="924" spans="1:4" s="198" customFormat="1" ht="12.75" hidden="1">
      <c r="A924" s="207" t="s">
        <v>122</v>
      </c>
      <c r="B924" s="204"/>
      <c r="C924" s="204"/>
      <c r="D924" s="204"/>
    </row>
    <row r="925" spans="1:4" s="198" customFormat="1" ht="12.75" hidden="1">
      <c r="A925" s="206" t="s">
        <v>390</v>
      </c>
      <c r="B925" s="208">
        <f>F822+F851</f>
        <v>0</v>
      </c>
      <c r="C925" s="208">
        <v>30000</v>
      </c>
      <c r="D925" s="204"/>
    </row>
    <row r="926" spans="1:4" s="198" customFormat="1" ht="12.75" hidden="1">
      <c r="A926" s="206" t="s">
        <v>403</v>
      </c>
      <c r="B926" s="208">
        <f>F815+F848</f>
        <v>0</v>
      </c>
      <c r="C926" s="208">
        <v>30000</v>
      </c>
      <c r="D926" s="204"/>
    </row>
    <row r="927" spans="1:4" s="198" customFormat="1" ht="12.75" hidden="1">
      <c r="A927" s="207" t="s">
        <v>124</v>
      </c>
      <c r="B927" s="204"/>
      <c r="C927" s="208"/>
      <c r="D927" s="204"/>
    </row>
    <row r="928" spans="1:4" s="198" customFormat="1" ht="12.75" hidden="1">
      <c r="A928" s="206" t="s">
        <v>391</v>
      </c>
      <c r="B928" s="208">
        <f>F823+F852</f>
        <v>0</v>
      </c>
      <c r="C928" s="208">
        <v>10000</v>
      </c>
      <c r="D928" s="204"/>
    </row>
    <row r="929" spans="1:4" s="198" customFormat="1" ht="12.75" hidden="1">
      <c r="A929" s="206"/>
      <c r="B929" s="208">
        <f>SUM(B898:B928)</f>
        <v>45456</v>
      </c>
      <c r="C929" s="208">
        <f>SUM(C898:C928)</f>
        <v>774460</v>
      </c>
      <c r="D929" s="204"/>
    </row>
    <row r="930" spans="1:4" s="198" customFormat="1" ht="12.75" hidden="1">
      <c r="A930" s="206"/>
      <c r="B930" s="204"/>
      <c r="C930" s="204"/>
      <c r="D930" s="204"/>
    </row>
    <row r="931" spans="1:4" s="198" customFormat="1" ht="12.75" hidden="1">
      <c r="A931" s="206"/>
      <c r="B931" s="204">
        <f>11364*4</f>
        <v>45456</v>
      </c>
      <c r="C931" s="205">
        <v>777460</v>
      </c>
      <c r="D931" s="204"/>
    </row>
    <row r="932" s="198" customFormat="1" ht="12.75" hidden="1">
      <c r="A932" s="202"/>
    </row>
    <row r="933" s="198" customFormat="1" ht="12.75">
      <c r="A933" s="202"/>
    </row>
    <row r="934" s="198" customFormat="1" ht="12.75">
      <c r="A934" s="202"/>
    </row>
    <row r="935" s="198" customFormat="1" ht="12.75">
      <c r="A935" s="202"/>
    </row>
    <row r="936" s="198" customFormat="1" ht="12.75">
      <c r="A936" s="202"/>
    </row>
    <row r="937" s="198" customFormat="1" ht="12.75">
      <c r="A937" s="202"/>
    </row>
    <row r="938" s="198" customFormat="1" ht="12.75">
      <c r="A938" s="202"/>
    </row>
    <row r="939" s="198" customFormat="1" ht="12.75">
      <c r="A939" s="202"/>
    </row>
    <row r="940" s="198" customFormat="1" ht="12.75">
      <c r="A940" s="202"/>
    </row>
    <row r="941" s="198" customFormat="1" ht="12.75">
      <c r="A941" s="202"/>
    </row>
    <row r="942" s="198" customFormat="1" ht="12.75">
      <c r="A942" s="202"/>
    </row>
    <row r="943" s="198" customFormat="1" ht="12.75">
      <c r="A943" s="202"/>
    </row>
    <row r="944" s="198" customFormat="1" ht="12.75">
      <c r="A944" s="202"/>
    </row>
    <row r="945" s="198" customFormat="1" ht="12.75">
      <c r="A945" s="202"/>
    </row>
    <row r="946" s="198" customFormat="1" ht="12.75">
      <c r="A946" s="202"/>
    </row>
    <row r="947" s="198" customFormat="1" ht="12.75">
      <c r="A947" s="202"/>
    </row>
    <row r="948" s="198" customFormat="1" ht="12.75">
      <c r="A948" s="202"/>
    </row>
    <row r="949" s="198" customFormat="1" ht="12.75">
      <c r="A949" s="202"/>
    </row>
    <row r="950" s="198" customFormat="1" ht="12.75">
      <c r="A950" s="202"/>
    </row>
    <row r="951" s="198" customFormat="1" ht="12.75">
      <c r="A951" s="202"/>
    </row>
    <row r="952" s="198" customFormat="1" ht="12.75">
      <c r="A952" s="202"/>
    </row>
    <row r="953" s="198" customFormat="1" ht="12.75">
      <c r="A953" s="202"/>
    </row>
    <row r="954" s="198" customFormat="1" ht="12.75">
      <c r="A954" s="202"/>
    </row>
    <row r="955" s="198" customFormat="1" ht="12.75">
      <c r="A955" s="202"/>
    </row>
    <row r="956" s="198" customFormat="1" ht="12.75">
      <c r="A956" s="202"/>
    </row>
    <row r="957" s="198" customFormat="1" ht="12.75">
      <c r="A957" s="202"/>
    </row>
    <row r="958" s="198" customFormat="1" ht="12.75">
      <c r="A958" s="202"/>
    </row>
    <row r="959" s="198" customFormat="1" ht="12.75">
      <c r="A959" s="202"/>
    </row>
    <row r="960" s="198" customFormat="1" ht="12.75">
      <c r="A960" s="202"/>
    </row>
    <row r="961" s="198" customFormat="1" ht="12.75">
      <c r="A961" s="202"/>
    </row>
    <row r="962" s="198" customFormat="1" ht="12.75">
      <c r="A962" s="202"/>
    </row>
    <row r="963" s="198" customFormat="1" ht="12.75">
      <c r="A963" s="202"/>
    </row>
    <row r="964" s="198" customFormat="1" ht="12.75">
      <c r="A964" s="202"/>
    </row>
    <row r="965" s="198" customFormat="1" ht="12.75">
      <c r="A965" s="202"/>
    </row>
    <row r="966" s="198" customFormat="1" ht="12.75">
      <c r="A966" s="202"/>
    </row>
    <row r="967" s="198" customFormat="1" ht="12.75">
      <c r="A967" s="202"/>
    </row>
    <row r="968" s="198" customFormat="1" ht="12.75">
      <c r="A968" s="202"/>
    </row>
    <row r="969" s="198" customFormat="1" ht="12.75">
      <c r="A969" s="202"/>
    </row>
    <row r="970" s="198" customFormat="1" ht="12.75">
      <c r="A970" s="202"/>
    </row>
    <row r="971" s="198" customFormat="1" ht="12.75">
      <c r="A971" s="202"/>
    </row>
    <row r="972" s="198" customFormat="1" ht="12.75">
      <c r="A972" s="202"/>
    </row>
    <row r="973" s="198" customFormat="1" ht="12.75">
      <c r="A973" s="202"/>
    </row>
    <row r="974" s="198" customFormat="1" ht="12.75">
      <c r="A974" s="202"/>
    </row>
    <row r="975" s="198" customFormat="1" ht="12.75">
      <c r="A975" s="202"/>
    </row>
    <row r="976" s="198" customFormat="1" ht="12.75">
      <c r="A976" s="202"/>
    </row>
    <row r="977" s="198" customFormat="1" ht="12.75">
      <c r="A977" s="202"/>
    </row>
    <row r="978" s="198" customFormat="1" ht="12.75">
      <c r="A978" s="202"/>
    </row>
    <row r="979" s="198" customFormat="1" ht="12.75">
      <c r="A979" s="202"/>
    </row>
    <row r="980" s="198" customFormat="1" ht="12.75">
      <c r="A980" s="202"/>
    </row>
    <row r="981" s="198" customFormat="1" ht="12.75">
      <c r="A981" s="202"/>
    </row>
    <row r="982" s="198" customFormat="1" ht="12.75">
      <c r="A982" s="202"/>
    </row>
    <row r="983" s="198" customFormat="1" ht="12.75">
      <c r="A983" s="202"/>
    </row>
    <row r="984" s="198" customFormat="1" ht="12.75">
      <c r="A984" s="202"/>
    </row>
    <row r="985" s="198" customFormat="1" ht="12.75">
      <c r="A985" s="202"/>
    </row>
    <row r="986" s="198" customFormat="1" ht="12.75">
      <c r="A986" s="202"/>
    </row>
    <row r="987" s="198" customFormat="1" ht="12.75">
      <c r="A987" s="202"/>
    </row>
    <row r="988" s="198" customFormat="1" ht="12.75">
      <c r="A988" s="202"/>
    </row>
    <row r="989" s="198" customFormat="1" ht="12.75">
      <c r="A989" s="202"/>
    </row>
    <row r="990" s="198" customFormat="1" ht="12.75">
      <c r="A990" s="202"/>
    </row>
    <row r="991" s="198" customFormat="1" ht="12.75">
      <c r="A991" s="202"/>
    </row>
    <row r="992" s="198" customFormat="1" ht="12.75">
      <c r="A992" s="202"/>
    </row>
    <row r="993" s="198" customFormat="1" ht="12.75">
      <c r="A993" s="202"/>
    </row>
    <row r="994" s="198" customFormat="1" ht="12.75">
      <c r="A994" s="202"/>
    </row>
    <row r="995" s="198" customFormat="1" ht="12.75">
      <c r="A995" s="202"/>
    </row>
    <row r="996" s="198" customFormat="1" ht="12.75">
      <c r="A996" s="202"/>
    </row>
    <row r="997" s="198" customFormat="1" ht="12.75">
      <c r="A997" s="202"/>
    </row>
    <row r="998" s="198" customFormat="1" ht="12.75">
      <c r="A998" s="202"/>
    </row>
    <row r="999" s="198" customFormat="1" ht="12.75">
      <c r="A999" s="202"/>
    </row>
    <row r="1000" s="198" customFormat="1" ht="12.75">
      <c r="A1000" s="202"/>
    </row>
    <row r="1001" s="198" customFormat="1" ht="12.75">
      <c r="A1001" s="202"/>
    </row>
    <row r="1002" s="198" customFormat="1" ht="12.75">
      <c r="A1002" s="202"/>
    </row>
    <row r="1003" s="198" customFormat="1" ht="12.75">
      <c r="A1003" s="202"/>
    </row>
    <row r="1004" s="198" customFormat="1" ht="12.75">
      <c r="A1004" s="202"/>
    </row>
    <row r="1005" s="198" customFormat="1" ht="12.75">
      <c r="A1005" s="202"/>
    </row>
    <row r="1006" s="198" customFormat="1" ht="12.75">
      <c r="A1006" s="202"/>
    </row>
    <row r="1007" s="198" customFormat="1" ht="12.75">
      <c r="A1007" s="202"/>
    </row>
    <row r="1008" s="198" customFormat="1" ht="12.75">
      <c r="A1008" s="202"/>
    </row>
    <row r="1009" s="198" customFormat="1" ht="12.75">
      <c r="A1009" s="202"/>
    </row>
    <row r="1010" s="198" customFormat="1" ht="12.75">
      <c r="A1010" s="202"/>
    </row>
    <row r="1011" s="198" customFormat="1" ht="12.75">
      <c r="A1011" s="202"/>
    </row>
    <row r="1012" s="198" customFormat="1" ht="12.75">
      <c r="A1012" s="202"/>
    </row>
    <row r="1013" s="198" customFormat="1" ht="12.75">
      <c r="A1013" s="202"/>
    </row>
    <row r="1014" s="198" customFormat="1" ht="12.75">
      <c r="A1014" s="202"/>
    </row>
    <row r="1015" s="198" customFormat="1" ht="12.75">
      <c r="A1015" s="202"/>
    </row>
    <row r="1016" s="198" customFormat="1" ht="12.75">
      <c r="A1016" s="202"/>
    </row>
    <row r="1017" s="198" customFormat="1" ht="12.75">
      <c r="A1017" s="202"/>
    </row>
    <row r="1018" s="198" customFormat="1" ht="12.75">
      <c r="A1018" s="202"/>
    </row>
    <row r="1019" s="198" customFormat="1" ht="12.75">
      <c r="A1019" s="202"/>
    </row>
    <row r="1020" s="198" customFormat="1" ht="12.75">
      <c r="A1020" s="202"/>
    </row>
    <row r="1021" s="198" customFormat="1" ht="12.75">
      <c r="A1021" s="202"/>
    </row>
    <row r="1022" s="198" customFormat="1" ht="12.75">
      <c r="A1022" s="202"/>
    </row>
    <row r="1023" s="198" customFormat="1" ht="12.75">
      <c r="A1023" s="202"/>
    </row>
    <row r="1024" s="198" customFormat="1" ht="12.75">
      <c r="A1024" s="202"/>
    </row>
    <row r="1025" s="198" customFormat="1" ht="12.75">
      <c r="A1025" s="202"/>
    </row>
    <row r="1026" s="198" customFormat="1" ht="12.75">
      <c r="A1026" s="202"/>
    </row>
    <row r="1027" s="198" customFormat="1" ht="12.75">
      <c r="A1027" s="202"/>
    </row>
    <row r="1028" s="198" customFormat="1" ht="12.75">
      <c r="A1028" s="202"/>
    </row>
    <row r="1029" s="198" customFormat="1" ht="12.75">
      <c r="A1029" s="202"/>
    </row>
    <row r="1030" s="198" customFormat="1" ht="12.75">
      <c r="A1030" s="202"/>
    </row>
    <row r="1031" s="198" customFormat="1" ht="12.75">
      <c r="A1031" s="202"/>
    </row>
    <row r="1032" s="198" customFormat="1" ht="12.75">
      <c r="A1032" s="202"/>
    </row>
    <row r="1033" s="198" customFormat="1" ht="12.75">
      <c r="A1033" s="202"/>
    </row>
    <row r="1034" s="198" customFormat="1" ht="12.75">
      <c r="A1034" s="202"/>
    </row>
    <row r="1035" s="198" customFormat="1" ht="12.75">
      <c r="A1035" s="202"/>
    </row>
    <row r="1036" s="198" customFormat="1" ht="12.75">
      <c r="A1036" s="202"/>
    </row>
    <row r="1037" s="198" customFormat="1" ht="12.75">
      <c r="A1037" s="202"/>
    </row>
    <row r="1038" s="198" customFormat="1" ht="12.75">
      <c r="A1038" s="202"/>
    </row>
    <row r="1039" s="198" customFormat="1" ht="12.75">
      <c r="A1039" s="202"/>
    </row>
    <row r="1040" s="198" customFormat="1" ht="12.75">
      <c r="A1040" s="202"/>
    </row>
    <row r="1041" s="198" customFormat="1" ht="12.75">
      <c r="A1041" s="202"/>
    </row>
    <row r="1042" s="198" customFormat="1" ht="12.75">
      <c r="A1042" s="202"/>
    </row>
    <row r="1043" s="198" customFormat="1" ht="12.75">
      <c r="A1043" s="202"/>
    </row>
    <row r="1044" s="198" customFormat="1" ht="12.75">
      <c r="A1044" s="202"/>
    </row>
    <row r="1045" s="198" customFormat="1" ht="12.75">
      <c r="A1045" s="202"/>
    </row>
    <row r="1046" s="198" customFormat="1" ht="12.75">
      <c r="A1046" s="202"/>
    </row>
    <row r="1047" s="198" customFormat="1" ht="12.75">
      <c r="A1047" s="202"/>
    </row>
    <row r="1048" s="198" customFormat="1" ht="12.75">
      <c r="A1048" s="202"/>
    </row>
    <row r="1049" s="198" customFormat="1" ht="12.75">
      <c r="A1049" s="202"/>
    </row>
    <row r="1050" s="198" customFormat="1" ht="12.75">
      <c r="A1050" s="202"/>
    </row>
    <row r="1051" s="198" customFormat="1" ht="12.75">
      <c r="A1051" s="202"/>
    </row>
    <row r="1052" s="198" customFormat="1" ht="12.75">
      <c r="A1052" s="202"/>
    </row>
    <row r="1053" s="198" customFormat="1" ht="12.75">
      <c r="A1053" s="202"/>
    </row>
    <row r="1054" s="198" customFormat="1" ht="12.75">
      <c r="A1054" s="202"/>
    </row>
    <row r="1055" s="198" customFormat="1" ht="12.75">
      <c r="A1055" s="202"/>
    </row>
    <row r="1056" s="198" customFormat="1" ht="12.75">
      <c r="A1056" s="202"/>
    </row>
    <row r="1057" s="198" customFormat="1" ht="12.75">
      <c r="A1057" s="202"/>
    </row>
    <row r="1058" s="198" customFormat="1" ht="12.75">
      <c r="A1058" s="202"/>
    </row>
    <row r="1059" s="198" customFormat="1" ht="12.75">
      <c r="A1059" s="202"/>
    </row>
    <row r="1060" s="198" customFormat="1" ht="12.75">
      <c r="A1060" s="202"/>
    </row>
    <row r="1061" s="198" customFormat="1" ht="12.75">
      <c r="A1061" s="202"/>
    </row>
    <row r="1062" s="198" customFormat="1" ht="12.75">
      <c r="A1062" s="202"/>
    </row>
    <row r="1063" s="198" customFormat="1" ht="12.75">
      <c r="A1063" s="202"/>
    </row>
    <row r="1064" s="198" customFormat="1" ht="12.75">
      <c r="A1064" s="202"/>
    </row>
    <row r="1065" s="198" customFormat="1" ht="12.75">
      <c r="A1065" s="202"/>
    </row>
    <row r="1066" s="198" customFormat="1" ht="12.75">
      <c r="A1066" s="202"/>
    </row>
    <row r="1067" s="198" customFormat="1" ht="12.75">
      <c r="A1067" s="202"/>
    </row>
    <row r="1068" s="198" customFormat="1" ht="12.75">
      <c r="A1068" s="202"/>
    </row>
    <row r="1069" s="198" customFormat="1" ht="12.75">
      <c r="A1069" s="202"/>
    </row>
    <row r="1070" s="198" customFormat="1" ht="12.75">
      <c r="A1070" s="202"/>
    </row>
    <row r="1071" s="198" customFormat="1" ht="12.75">
      <c r="A1071" s="202"/>
    </row>
    <row r="1072" s="198" customFormat="1" ht="12.75">
      <c r="A1072" s="202"/>
    </row>
    <row r="1073" s="198" customFormat="1" ht="12.75">
      <c r="A1073" s="202"/>
    </row>
    <row r="1074" s="198" customFormat="1" ht="12.75">
      <c r="A1074" s="202"/>
    </row>
    <row r="1075" s="198" customFormat="1" ht="12.75">
      <c r="A1075" s="202"/>
    </row>
    <row r="1076" s="198" customFormat="1" ht="12.75">
      <c r="A1076" s="202"/>
    </row>
    <row r="1077" s="198" customFormat="1" ht="12.75">
      <c r="A1077" s="202"/>
    </row>
    <row r="1078" s="198" customFormat="1" ht="12.75">
      <c r="A1078" s="202"/>
    </row>
    <row r="1079" s="198" customFormat="1" ht="12.75">
      <c r="A1079" s="202"/>
    </row>
    <row r="1080" s="198" customFormat="1" ht="12.75">
      <c r="A1080" s="202"/>
    </row>
    <row r="1081" s="198" customFormat="1" ht="12.75">
      <c r="A1081" s="202"/>
    </row>
    <row r="1082" s="198" customFormat="1" ht="12.75">
      <c r="A1082" s="202"/>
    </row>
    <row r="1083" s="198" customFormat="1" ht="12.75">
      <c r="A1083" s="202"/>
    </row>
    <row r="1084" s="198" customFormat="1" ht="12.75">
      <c r="A1084" s="202"/>
    </row>
    <row r="1085" s="198" customFormat="1" ht="12.75">
      <c r="A1085" s="202"/>
    </row>
    <row r="1086" s="198" customFormat="1" ht="12.75">
      <c r="A1086" s="202"/>
    </row>
    <row r="1087" s="198" customFormat="1" ht="12.75">
      <c r="A1087" s="202"/>
    </row>
    <row r="1088" s="198" customFormat="1" ht="12.75">
      <c r="A1088" s="202"/>
    </row>
    <row r="1089" s="198" customFormat="1" ht="12.75">
      <c r="A1089" s="202"/>
    </row>
    <row r="1090" s="198" customFormat="1" ht="12.75">
      <c r="A1090" s="202"/>
    </row>
    <row r="1091" s="198" customFormat="1" ht="12.75">
      <c r="A1091" s="202"/>
    </row>
    <row r="1092" s="198" customFormat="1" ht="12.75">
      <c r="A1092" s="202"/>
    </row>
    <row r="1093" s="198" customFormat="1" ht="12.75">
      <c r="A1093" s="202"/>
    </row>
    <row r="1094" s="198" customFormat="1" ht="12.75">
      <c r="A1094" s="202"/>
    </row>
    <row r="1095" s="198" customFormat="1" ht="12.75">
      <c r="A1095" s="202"/>
    </row>
    <row r="1096" s="198" customFormat="1" ht="12.75">
      <c r="A1096" s="202"/>
    </row>
    <row r="1097" s="198" customFormat="1" ht="12.75">
      <c r="A1097" s="202"/>
    </row>
    <row r="1098" s="198" customFormat="1" ht="12.75">
      <c r="A1098" s="202"/>
    </row>
    <row r="1099" s="198" customFormat="1" ht="12.75">
      <c r="A1099" s="202"/>
    </row>
    <row r="1100" s="198" customFormat="1" ht="12.75">
      <c r="A1100" s="202"/>
    </row>
    <row r="1101" s="198" customFormat="1" ht="12.75">
      <c r="A1101" s="202"/>
    </row>
    <row r="1102" s="198" customFormat="1" ht="12.75">
      <c r="A1102" s="202"/>
    </row>
    <row r="1103" s="198" customFormat="1" ht="12.75">
      <c r="A1103" s="202"/>
    </row>
    <row r="1104" s="198" customFormat="1" ht="12.75">
      <c r="A1104" s="202"/>
    </row>
    <row r="1105" s="198" customFormat="1" ht="12.75">
      <c r="A1105" s="202"/>
    </row>
    <row r="1106" s="198" customFormat="1" ht="12.75">
      <c r="A1106" s="202"/>
    </row>
    <row r="1107" s="198" customFormat="1" ht="12.75">
      <c r="A1107" s="202"/>
    </row>
    <row r="1108" s="198" customFormat="1" ht="12.75">
      <c r="A1108" s="202"/>
    </row>
    <row r="1109" s="198" customFormat="1" ht="12.75">
      <c r="A1109" s="202"/>
    </row>
    <row r="1110" s="198" customFormat="1" ht="12.75">
      <c r="A1110" s="202"/>
    </row>
    <row r="1111" s="198" customFormat="1" ht="12.75">
      <c r="A1111" s="202"/>
    </row>
    <row r="1112" s="198" customFormat="1" ht="12.75">
      <c r="A1112" s="202"/>
    </row>
    <row r="1113" s="198" customFormat="1" ht="12.75">
      <c r="A1113" s="202"/>
    </row>
    <row r="1114" s="198" customFormat="1" ht="12.75">
      <c r="A1114" s="202"/>
    </row>
    <row r="1115" s="198" customFormat="1" ht="12.75">
      <c r="A1115" s="202"/>
    </row>
    <row r="1116" s="198" customFormat="1" ht="12.75">
      <c r="A1116" s="202"/>
    </row>
    <row r="1117" s="198" customFormat="1" ht="12.75">
      <c r="A1117" s="202"/>
    </row>
    <row r="1118" s="198" customFormat="1" ht="12.75">
      <c r="A1118" s="202"/>
    </row>
    <row r="1119" s="198" customFormat="1" ht="12.75">
      <c r="A1119" s="202"/>
    </row>
    <row r="1120" s="198" customFormat="1" ht="12.75">
      <c r="A1120" s="202"/>
    </row>
    <row r="1121" s="198" customFormat="1" ht="12.75">
      <c r="A1121" s="202"/>
    </row>
    <row r="1122" s="198" customFormat="1" ht="12.75">
      <c r="A1122" s="202"/>
    </row>
    <row r="1123" s="198" customFormat="1" ht="12.75">
      <c r="A1123" s="202"/>
    </row>
    <row r="1124" s="198" customFormat="1" ht="12.75">
      <c r="A1124" s="202"/>
    </row>
    <row r="1125" s="198" customFormat="1" ht="12.75">
      <c r="A1125" s="202"/>
    </row>
    <row r="1126" s="198" customFormat="1" ht="12.75">
      <c r="A1126" s="202"/>
    </row>
    <row r="1127" s="198" customFormat="1" ht="12.75">
      <c r="A1127" s="202"/>
    </row>
    <row r="1128" s="198" customFormat="1" ht="12.75">
      <c r="A1128" s="202"/>
    </row>
    <row r="1129" s="198" customFormat="1" ht="12.75">
      <c r="A1129" s="202"/>
    </row>
    <row r="1130" s="198" customFormat="1" ht="12.75">
      <c r="A1130" s="202"/>
    </row>
    <row r="1131" s="198" customFormat="1" ht="12.75">
      <c r="A1131" s="202"/>
    </row>
    <row r="1132" s="198" customFormat="1" ht="12.75">
      <c r="A1132" s="202"/>
    </row>
    <row r="1133" s="198" customFormat="1" ht="12.75">
      <c r="A1133" s="202"/>
    </row>
    <row r="1134" s="198" customFormat="1" ht="12.75">
      <c r="A1134" s="202"/>
    </row>
    <row r="1135" s="198" customFormat="1" ht="12.75">
      <c r="A1135" s="202"/>
    </row>
    <row r="1136" s="198" customFormat="1" ht="12.75">
      <c r="A1136" s="202"/>
    </row>
    <row r="1137" s="198" customFormat="1" ht="12.75">
      <c r="A1137" s="202"/>
    </row>
    <row r="1138" s="198" customFormat="1" ht="12.75">
      <c r="A1138" s="202"/>
    </row>
    <row r="1139" s="198" customFormat="1" ht="12.75">
      <c r="A1139" s="202"/>
    </row>
    <row r="1140" s="198" customFormat="1" ht="12.75">
      <c r="A1140" s="202"/>
    </row>
    <row r="1141" s="198" customFormat="1" ht="12.75">
      <c r="A1141" s="202"/>
    </row>
    <row r="1142" s="198" customFormat="1" ht="12.75">
      <c r="A1142" s="202"/>
    </row>
    <row r="1143" s="198" customFormat="1" ht="12.75">
      <c r="A1143" s="202"/>
    </row>
    <row r="1144" s="198" customFormat="1" ht="12.75">
      <c r="A1144" s="202"/>
    </row>
    <row r="1145" s="198" customFormat="1" ht="12.75">
      <c r="A1145" s="202"/>
    </row>
    <row r="1146" s="198" customFormat="1" ht="12.75">
      <c r="A1146" s="202"/>
    </row>
    <row r="1147" s="198" customFormat="1" ht="12.75">
      <c r="A1147" s="202"/>
    </row>
    <row r="1148" s="198" customFormat="1" ht="12.75">
      <c r="A1148" s="202"/>
    </row>
    <row r="1149" s="198" customFormat="1" ht="12.75">
      <c r="A1149" s="202"/>
    </row>
    <row r="1150" s="198" customFormat="1" ht="12.75">
      <c r="A1150" s="202"/>
    </row>
    <row r="1151" s="198" customFormat="1" ht="12.75">
      <c r="A1151" s="202"/>
    </row>
    <row r="1152" s="198" customFormat="1" ht="12.75">
      <c r="A1152" s="202"/>
    </row>
    <row r="1153" s="198" customFormat="1" ht="12.75">
      <c r="A1153" s="202"/>
    </row>
    <row r="1154" s="198" customFormat="1" ht="12.75">
      <c r="A1154" s="202"/>
    </row>
    <row r="1155" s="198" customFormat="1" ht="12.75">
      <c r="A1155" s="202"/>
    </row>
    <row r="1156" s="198" customFormat="1" ht="12.75">
      <c r="A1156" s="202"/>
    </row>
    <row r="1157" s="198" customFormat="1" ht="12.75">
      <c r="A1157" s="202"/>
    </row>
    <row r="1158" s="198" customFormat="1" ht="12.75">
      <c r="A1158" s="202"/>
    </row>
    <row r="1159" s="198" customFormat="1" ht="12.75">
      <c r="A1159" s="202"/>
    </row>
    <row r="1160" s="198" customFormat="1" ht="12.75">
      <c r="A1160" s="202"/>
    </row>
    <row r="1161" s="198" customFormat="1" ht="12.75">
      <c r="A1161" s="202"/>
    </row>
    <row r="1162" s="198" customFormat="1" ht="12.75">
      <c r="A1162" s="202"/>
    </row>
    <row r="1163" s="198" customFormat="1" ht="12.75">
      <c r="A1163" s="202"/>
    </row>
    <row r="1164" s="198" customFormat="1" ht="12.75">
      <c r="A1164" s="202"/>
    </row>
    <row r="1165" s="198" customFormat="1" ht="12.75">
      <c r="A1165" s="202"/>
    </row>
    <row r="1166" s="198" customFormat="1" ht="12.75">
      <c r="A1166" s="202"/>
    </row>
    <row r="1167" s="198" customFormat="1" ht="12.75">
      <c r="A1167" s="202"/>
    </row>
    <row r="1168" s="198" customFormat="1" ht="12.75">
      <c r="A1168" s="202"/>
    </row>
    <row r="1169" s="198" customFormat="1" ht="12.75">
      <c r="A1169" s="202"/>
    </row>
    <row r="1170" s="198" customFormat="1" ht="12.75">
      <c r="A1170" s="202"/>
    </row>
    <row r="1171" s="198" customFormat="1" ht="12.75">
      <c r="A1171" s="202"/>
    </row>
    <row r="1172" s="198" customFormat="1" ht="12.75">
      <c r="A1172" s="202"/>
    </row>
    <row r="1173" s="198" customFormat="1" ht="12.75">
      <c r="A1173" s="202"/>
    </row>
    <row r="1174" s="198" customFormat="1" ht="12.75">
      <c r="A1174" s="202"/>
    </row>
    <row r="1175" s="198" customFormat="1" ht="12.75">
      <c r="A1175" s="202"/>
    </row>
    <row r="1176" s="198" customFormat="1" ht="12.75">
      <c r="A1176" s="202"/>
    </row>
    <row r="1177" s="198" customFormat="1" ht="12.75">
      <c r="A1177" s="202"/>
    </row>
    <row r="1178" s="198" customFormat="1" ht="12.75">
      <c r="A1178" s="202"/>
    </row>
    <row r="1179" s="198" customFormat="1" ht="12.75">
      <c r="A1179" s="202"/>
    </row>
    <row r="1180" s="198" customFormat="1" ht="12.75">
      <c r="A1180" s="202"/>
    </row>
    <row r="1181" s="198" customFormat="1" ht="12.75">
      <c r="A1181" s="202"/>
    </row>
    <row r="1182" s="198" customFormat="1" ht="12.75">
      <c r="A1182" s="202"/>
    </row>
    <row r="1183" s="198" customFormat="1" ht="12.75">
      <c r="A1183" s="202"/>
    </row>
    <row r="1184" s="198" customFormat="1" ht="12.75">
      <c r="A1184" s="202"/>
    </row>
    <row r="1185" s="198" customFormat="1" ht="12.75">
      <c r="A1185" s="202"/>
    </row>
    <row r="1186" s="198" customFormat="1" ht="12.75">
      <c r="A1186" s="202"/>
    </row>
    <row r="1187" s="198" customFormat="1" ht="12.75">
      <c r="A1187" s="202"/>
    </row>
    <row r="1188" s="198" customFormat="1" ht="12.75">
      <c r="A1188" s="202"/>
    </row>
    <row r="1189" s="198" customFormat="1" ht="12.75">
      <c r="A1189" s="202"/>
    </row>
    <row r="1190" s="198" customFormat="1" ht="12.75">
      <c r="A1190" s="202"/>
    </row>
    <row r="1191" s="198" customFormat="1" ht="12.75">
      <c r="A1191" s="202"/>
    </row>
    <row r="1192" s="198" customFormat="1" ht="12.75">
      <c r="A1192" s="202"/>
    </row>
    <row r="1193" s="198" customFormat="1" ht="12.75">
      <c r="A1193" s="202"/>
    </row>
    <row r="1194" s="198" customFormat="1" ht="12.75">
      <c r="A1194" s="202"/>
    </row>
    <row r="1195" s="198" customFormat="1" ht="12.75">
      <c r="A1195" s="202"/>
    </row>
    <row r="1196" s="198" customFormat="1" ht="12.75">
      <c r="A1196" s="202"/>
    </row>
    <row r="1197" s="198" customFormat="1" ht="12.75">
      <c r="A1197" s="202"/>
    </row>
    <row r="1198" s="198" customFormat="1" ht="12.75">
      <c r="A1198" s="202"/>
    </row>
    <row r="1199" s="198" customFormat="1" ht="12.75">
      <c r="A1199" s="202"/>
    </row>
    <row r="1200" s="198" customFormat="1" ht="12.75">
      <c r="A1200" s="202"/>
    </row>
    <row r="1201" s="198" customFormat="1" ht="12.75">
      <c r="A1201" s="202"/>
    </row>
    <row r="1202" s="198" customFormat="1" ht="12.75">
      <c r="A1202" s="202"/>
    </row>
    <row r="1203" s="198" customFormat="1" ht="12.75">
      <c r="A1203" s="202"/>
    </row>
    <row r="1204" s="198" customFormat="1" ht="12.75">
      <c r="A1204" s="202"/>
    </row>
    <row r="1205" s="198" customFormat="1" ht="12.75">
      <c r="A1205" s="202"/>
    </row>
    <row r="1206" s="198" customFormat="1" ht="12.75">
      <c r="A1206" s="202"/>
    </row>
    <row r="1207" s="198" customFormat="1" ht="12.75">
      <c r="A1207" s="202"/>
    </row>
    <row r="1208" s="198" customFormat="1" ht="12.75">
      <c r="A1208" s="202"/>
    </row>
    <row r="1209" s="198" customFormat="1" ht="12.75">
      <c r="A1209" s="202"/>
    </row>
    <row r="1210" s="198" customFormat="1" ht="12.75">
      <c r="A1210" s="202"/>
    </row>
    <row r="1211" s="198" customFormat="1" ht="12.75">
      <c r="A1211" s="202"/>
    </row>
    <row r="1212" s="198" customFormat="1" ht="12.75">
      <c r="A1212" s="202"/>
    </row>
    <row r="1213" s="198" customFormat="1" ht="12.75">
      <c r="A1213" s="202"/>
    </row>
    <row r="1214" s="198" customFormat="1" ht="12.75">
      <c r="A1214" s="202"/>
    </row>
    <row r="1215" s="198" customFormat="1" ht="12.75">
      <c r="A1215" s="202"/>
    </row>
    <row r="1216" s="198" customFormat="1" ht="12.75">
      <c r="A1216" s="202"/>
    </row>
    <row r="1217" s="198" customFormat="1" ht="12.75">
      <c r="A1217" s="202"/>
    </row>
    <row r="1218" s="198" customFormat="1" ht="12.75">
      <c r="A1218" s="202"/>
    </row>
    <row r="1219" s="198" customFormat="1" ht="12.75">
      <c r="A1219" s="202"/>
    </row>
    <row r="1220" s="198" customFormat="1" ht="12.75">
      <c r="A1220" s="202"/>
    </row>
    <row r="1221" s="198" customFormat="1" ht="12.75">
      <c r="A1221" s="202"/>
    </row>
    <row r="1222" s="198" customFormat="1" ht="12.75">
      <c r="A1222" s="202"/>
    </row>
    <row r="1223" s="198" customFormat="1" ht="12.75">
      <c r="A1223" s="202"/>
    </row>
    <row r="1224" s="198" customFormat="1" ht="12.75">
      <c r="A1224" s="202"/>
    </row>
    <row r="1225" s="198" customFormat="1" ht="12.75">
      <c r="A1225" s="202"/>
    </row>
    <row r="1226" s="198" customFormat="1" ht="12.75">
      <c r="A1226" s="202"/>
    </row>
    <row r="1227" s="198" customFormat="1" ht="12.75">
      <c r="A1227" s="202"/>
    </row>
    <row r="1228" s="198" customFormat="1" ht="12.75">
      <c r="A1228" s="202"/>
    </row>
    <row r="1229" s="198" customFormat="1" ht="12.75">
      <c r="A1229" s="202"/>
    </row>
    <row r="1230" s="198" customFormat="1" ht="12.75">
      <c r="A1230" s="202"/>
    </row>
    <row r="1231" s="198" customFormat="1" ht="12.75">
      <c r="A1231" s="202"/>
    </row>
    <row r="1232" s="198" customFormat="1" ht="12.75">
      <c r="A1232" s="202"/>
    </row>
    <row r="1233" s="198" customFormat="1" ht="12.75">
      <c r="A1233" s="202"/>
    </row>
    <row r="1234" s="198" customFormat="1" ht="12.75">
      <c r="A1234" s="202"/>
    </row>
    <row r="1235" s="198" customFormat="1" ht="12.75">
      <c r="A1235" s="202"/>
    </row>
    <row r="1236" s="198" customFormat="1" ht="12.75">
      <c r="A1236" s="202"/>
    </row>
    <row r="1237" s="198" customFormat="1" ht="12.75">
      <c r="A1237" s="202"/>
    </row>
    <row r="1238" s="198" customFormat="1" ht="12.75">
      <c r="A1238" s="202"/>
    </row>
    <row r="1239" s="198" customFormat="1" ht="12.75">
      <c r="A1239" s="202"/>
    </row>
    <row r="1240" s="198" customFormat="1" ht="12.75">
      <c r="A1240" s="202"/>
    </row>
    <row r="1241" s="198" customFormat="1" ht="12.75">
      <c r="A1241" s="202"/>
    </row>
    <row r="1242" s="198" customFormat="1" ht="12.75">
      <c r="A1242" s="202"/>
    </row>
    <row r="1243" s="198" customFormat="1" ht="12.75">
      <c r="A1243" s="202"/>
    </row>
    <row r="1244" s="198" customFormat="1" ht="12.75">
      <c r="A1244" s="202"/>
    </row>
    <row r="1245" s="198" customFormat="1" ht="12.75">
      <c r="A1245" s="202"/>
    </row>
    <row r="1246" s="198" customFormat="1" ht="12.75">
      <c r="A1246" s="202"/>
    </row>
    <row r="1247" s="198" customFormat="1" ht="12.75">
      <c r="A1247" s="202"/>
    </row>
    <row r="1248" s="198" customFormat="1" ht="12.75">
      <c r="A1248" s="202"/>
    </row>
    <row r="1249" s="198" customFormat="1" ht="12.75">
      <c r="A1249" s="202"/>
    </row>
    <row r="1250" s="198" customFormat="1" ht="12.75">
      <c r="A1250" s="202"/>
    </row>
    <row r="1251" s="198" customFormat="1" ht="12.75">
      <c r="A1251" s="202"/>
    </row>
    <row r="1252" s="198" customFormat="1" ht="12.75">
      <c r="A1252" s="202"/>
    </row>
    <row r="1253" s="198" customFormat="1" ht="12.75">
      <c r="A1253" s="202"/>
    </row>
    <row r="1254" s="198" customFormat="1" ht="12.75">
      <c r="A1254" s="202"/>
    </row>
    <row r="1255" s="198" customFormat="1" ht="12.75">
      <c r="A1255" s="202"/>
    </row>
    <row r="1256" s="198" customFormat="1" ht="12.75">
      <c r="A1256" s="202"/>
    </row>
    <row r="1257" s="198" customFormat="1" ht="12.75">
      <c r="A1257" s="202"/>
    </row>
    <row r="1258" s="198" customFormat="1" ht="12.75">
      <c r="A1258" s="202"/>
    </row>
    <row r="1259" s="198" customFormat="1" ht="12.75">
      <c r="A1259" s="202"/>
    </row>
    <row r="1260" s="198" customFormat="1" ht="12.75">
      <c r="A1260" s="202"/>
    </row>
    <row r="1261" s="198" customFormat="1" ht="12.75">
      <c r="A1261" s="202"/>
    </row>
    <row r="1262" s="198" customFormat="1" ht="12.75">
      <c r="A1262" s="202"/>
    </row>
    <row r="1263" s="198" customFormat="1" ht="12.75">
      <c r="A1263" s="202"/>
    </row>
    <row r="1264" s="198" customFormat="1" ht="12.75">
      <c r="A1264" s="202"/>
    </row>
    <row r="1265" s="198" customFormat="1" ht="12.75">
      <c r="A1265" s="202"/>
    </row>
    <row r="1266" s="198" customFormat="1" ht="12.75">
      <c r="A1266" s="202"/>
    </row>
    <row r="1267" s="198" customFormat="1" ht="12.75">
      <c r="A1267" s="202"/>
    </row>
    <row r="1268" s="198" customFormat="1" ht="12.75">
      <c r="A1268" s="202"/>
    </row>
    <row r="1269" s="198" customFormat="1" ht="12.75">
      <c r="A1269" s="202"/>
    </row>
    <row r="1270" s="198" customFormat="1" ht="12.75">
      <c r="A1270" s="202"/>
    </row>
    <row r="1271" s="198" customFormat="1" ht="12.75">
      <c r="A1271" s="202"/>
    </row>
    <row r="1272" s="198" customFormat="1" ht="12.75">
      <c r="A1272" s="202"/>
    </row>
    <row r="1273" s="198" customFormat="1" ht="12.75">
      <c r="A1273" s="202"/>
    </row>
    <row r="1274" s="198" customFormat="1" ht="12.75">
      <c r="A1274" s="202"/>
    </row>
    <row r="1275" s="198" customFormat="1" ht="12.75">
      <c r="A1275" s="202"/>
    </row>
    <row r="1276" s="198" customFormat="1" ht="12.75">
      <c r="A1276" s="202"/>
    </row>
    <row r="1277" s="198" customFormat="1" ht="12.75">
      <c r="A1277" s="202"/>
    </row>
    <row r="1278" s="198" customFormat="1" ht="12.75">
      <c r="A1278" s="202"/>
    </row>
    <row r="1279" s="198" customFormat="1" ht="12.75">
      <c r="A1279" s="202"/>
    </row>
    <row r="1280" s="198" customFormat="1" ht="12.75">
      <c r="A1280" s="202"/>
    </row>
    <row r="1281" s="198" customFormat="1" ht="12.75">
      <c r="A1281" s="202"/>
    </row>
    <row r="1282" s="198" customFormat="1" ht="12.75">
      <c r="A1282" s="202"/>
    </row>
    <row r="1283" s="198" customFormat="1" ht="12.75">
      <c r="A1283" s="202"/>
    </row>
    <row r="1284" s="198" customFormat="1" ht="12.75">
      <c r="A1284" s="202"/>
    </row>
    <row r="1285" s="198" customFormat="1" ht="12.75">
      <c r="A1285" s="202"/>
    </row>
    <row r="1286" s="198" customFormat="1" ht="12.75">
      <c r="A1286" s="202"/>
    </row>
    <row r="1287" s="198" customFormat="1" ht="12.75">
      <c r="A1287" s="202"/>
    </row>
    <row r="1288" s="198" customFormat="1" ht="12.75">
      <c r="A1288" s="202"/>
    </row>
    <row r="1289" s="198" customFormat="1" ht="12.75">
      <c r="A1289" s="202"/>
    </row>
    <row r="1290" s="198" customFormat="1" ht="12.75">
      <c r="A1290" s="202"/>
    </row>
    <row r="1291" s="198" customFormat="1" ht="12.75">
      <c r="A1291" s="202"/>
    </row>
    <row r="1292" s="198" customFormat="1" ht="12.75">
      <c r="A1292" s="202"/>
    </row>
    <row r="1293" s="198" customFormat="1" ht="12.75">
      <c r="A1293" s="202"/>
    </row>
    <row r="1294" s="198" customFormat="1" ht="12.75">
      <c r="A1294" s="202"/>
    </row>
    <row r="1295" s="198" customFormat="1" ht="12.75">
      <c r="A1295" s="202"/>
    </row>
    <row r="1296" s="198" customFormat="1" ht="12.75">
      <c r="A1296" s="202"/>
    </row>
    <row r="1297" s="198" customFormat="1" ht="12.75">
      <c r="A1297" s="202"/>
    </row>
    <row r="1298" s="198" customFormat="1" ht="12.75">
      <c r="A1298" s="202"/>
    </row>
    <row r="1299" s="198" customFormat="1" ht="12.75">
      <c r="A1299" s="202"/>
    </row>
    <row r="1300" s="198" customFormat="1" ht="12.75">
      <c r="A1300" s="202"/>
    </row>
    <row r="1301" s="198" customFormat="1" ht="12.75">
      <c r="A1301" s="202"/>
    </row>
    <row r="1302" s="198" customFormat="1" ht="12.75">
      <c r="A1302" s="202"/>
    </row>
    <row r="1303" s="198" customFormat="1" ht="12.75">
      <c r="A1303" s="202"/>
    </row>
    <row r="1304" s="198" customFormat="1" ht="12.75">
      <c r="A1304" s="202"/>
    </row>
    <row r="1305" s="198" customFormat="1" ht="12.75">
      <c r="A1305" s="202"/>
    </row>
    <row r="1306" s="198" customFormat="1" ht="12.75">
      <c r="A1306" s="202"/>
    </row>
    <row r="1307" s="198" customFormat="1" ht="12.75">
      <c r="A1307" s="202"/>
    </row>
    <row r="1308" s="198" customFormat="1" ht="12.75">
      <c r="A1308" s="202"/>
    </row>
    <row r="1309" s="198" customFormat="1" ht="12.75">
      <c r="A1309" s="202"/>
    </row>
    <row r="1310" s="198" customFormat="1" ht="12.75">
      <c r="A1310" s="202"/>
    </row>
    <row r="1311" s="198" customFormat="1" ht="12.75">
      <c r="A1311" s="202"/>
    </row>
    <row r="1312" s="198" customFormat="1" ht="12.75">
      <c r="A1312" s="202"/>
    </row>
    <row r="1313" s="198" customFormat="1" ht="12.75">
      <c r="A1313" s="202"/>
    </row>
    <row r="1314" s="198" customFormat="1" ht="12.75">
      <c r="A1314" s="202"/>
    </row>
    <row r="1315" s="198" customFormat="1" ht="12.75">
      <c r="A1315" s="202"/>
    </row>
    <row r="1316" s="198" customFormat="1" ht="12.75">
      <c r="A1316" s="202"/>
    </row>
    <row r="1317" s="198" customFormat="1" ht="12.75">
      <c r="A1317" s="202"/>
    </row>
    <row r="1318" s="198" customFormat="1" ht="12.75">
      <c r="A1318" s="202"/>
    </row>
    <row r="1319" s="198" customFormat="1" ht="12.75">
      <c r="A1319" s="202"/>
    </row>
    <row r="1320" s="198" customFormat="1" ht="12.75">
      <c r="A1320" s="202"/>
    </row>
    <row r="1321" s="198" customFormat="1" ht="12.75">
      <c r="A1321" s="202"/>
    </row>
    <row r="1322" s="198" customFormat="1" ht="12.75">
      <c r="A1322" s="202"/>
    </row>
    <row r="1323" s="198" customFormat="1" ht="12.75">
      <c r="A1323" s="202"/>
    </row>
    <row r="1324" s="198" customFormat="1" ht="12.75">
      <c r="A1324" s="202"/>
    </row>
    <row r="1325" s="198" customFormat="1" ht="12.75">
      <c r="A1325" s="202"/>
    </row>
    <row r="1326" s="198" customFormat="1" ht="12.75">
      <c r="A1326" s="202"/>
    </row>
    <row r="1327" s="198" customFormat="1" ht="12.75">
      <c r="A1327" s="202"/>
    </row>
    <row r="1328" s="198" customFormat="1" ht="12.75">
      <c r="A1328" s="202"/>
    </row>
    <row r="1329" s="198" customFormat="1" ht="12.75">
      <c r="A1329" s="202"/>
    </row>
    <row r="1330" s="198" customFormat="1" ht="12.75">
      <c r="A1330" s="202"/>
    </row>
    <row r="1331" s="198" customFormat="1" ht="12.75">
      <c r="A1331" s="202"/>
    </row>
    <row r="1332" s="198" customFormat="1" ht="12.75">
      <c r="A1332" s="202"/>
    </row>
    <row r="1333" s="198" customFormat="1" ht="12.75">
      <c r="A1333" s="202"/>
    </row>
    <row r="1334" s="198" customFormat="1" ht="12.75">
      <c r="A1334" s="202"/>
    </row>
    <row r="1335" s="198" customFormat="1" ht="12.75">
      <c r="A1335" s="202"/>
    </row>
    <row r="1336" s="198" customFormat="1" ht="12.75">
      <c r="A1336" s="202"/>
    </row>
    <row r="1337" s="198" customFormat="1" ht="12.75">
      <c r="A1337" s="202"/>
    </row>
    <row r="1338" s="198" customFormat="1" ht="12.75">
      <c r="A1338" s="202"/>
    </row>
    <row r="1339" s="198" customFormat="1" ht="12.75">
      <c r="A1339" s="202"/>
    </row>
    <row r="1340" s="198" customFormat="1" ht="12.75">
      <c r="A1340" s="202"/>
    </row>
    <row r="1341" s="198" customFormat="1" ht="12.75">
      <c r="A1341" s="202"/>
    </row>
    <row r="1342" s="198" customFormat="1" ht="12.75">
      <c r="A1342" s="202"/>
    </row>
    <row r="1343" s="198" customFormat="1" ht="12.75">
      <c r="A1343" s="202"/>
    </row>
    <row r="1344" s="198" customFormat="1" ht="12.75">
      <c r="A1344" s="202"/>
    </row>
    <row r="1345" s="198" customFormat="1" ht="12.75">
      <c r="A1345" s="202"/>
    </row>
    <row r="1346" s="198" customFormat="1" ht="12.75">
      <c r="A1346" s="202"/>
    </row>
    <row r="1347" s="198" customFormat="1" ht="12.75">
      <c r="A1347" s="202"/>
    </row>
    <row r="1348" s="198" customFormat="1" ht="12.75">
      <c r="A1348" s="202"/>
    </row>
    <row r="1349" s="198" customFormat="1" ht="12.75">
      <c r="A1349" s="202"/>
    </row>
    <row r="1350" s="198" customFormat="1" ht="12.75">
      <c r="A1350" s="202"/>
    </row>
    <row r="1351" s="198" customFormat="1" ht="12.75">
      <c r="A1351" s="202"/>
    </row>
    <row r="1352" s="198" customFormat="1" ht="12.75">
      <c r="A1352" s="202"/>
    </row>
    <row r="1353" s="198" customFormat="1" ht="12.75">
      <c r="A1353" s="202"/>
    </row>
    <row r="1354" s="198" customFormat="1" ht="12.75">
      <c r="A1354" s="202"/>
    </row>
    <row r="1355" s="198" customFormat="1" ht="12.75">
      <c r="A1355" s="202"/>
    </row>
    <row r="1356" s="198" customFormat="1" ht="12.75">
      <c r="A1356" s="202"/>
    </row>
    <row r="1357" s="198" customFormat="1" ht="12.75">
      <c r="A1357" s="202"/>
    </row>
    <row r="1358" s="198" customFormat="1" ht="12.75">
      <c r="A1358" s="202"/>
    </row>
    <row r="1359" s="198" customFormat="1" ht="12.75">
      <c r="A1359" s="202"/>
    </row>
    <row r="1360" s="198" customFormat="1" ht="12.75">
      <c r="A1360" s="202"/>
    </row>
    <row r="1361" s="198" customFormat="1" ht="12.75">
      <c r="A1361" s="202"/>
    </row>
    <row r="1362" s="198" customFormat="1" ht="12.75">
      <c r="A1362" s="202"/>
    </row>
    <row r="1363" s="198" customFormat="1" ht="12.75">
      <c r="A1363" s="202"/>
    </row>
    <row r="1364" s="198" customFormat="1" ht="12.75">
      <c r="A1364" s="202"/>
    </row>
    <row r="1365" s="198" customFormat="1" ht="12.75">
      <c r="A1365" s="202"/>
    </row>
    <row r="1366" s="198" customFormat="1" ht="12.75">
      <c r="A1366" s="202"/>
    </row>
    <row r="1367" s="198" customFormat="1" ht="12.75">
      <c r="A1367" s="202"/>
    </row>
    <row r="1368" s="198" customFormat="1" ht="12.75">
      <c r="A1368" s="202"/>
    </row>
    <row r="1369" s="198" customFormat="1" ht="12.75">
      <c r="A1369" s="202"/>
    </row>
    <row r="1370" s="198" customFormat="1" ht="12.75">
      <c r="A1370" s="202"/>
    </row>
    <row r="1371" s="198" customFormat="1" ht="12.75">
      <c r="A1371" s="202"/>
    </row>
    <row r="1372" s="198" customFormat="1" ht="12.75">
      <c r="A1372" s="202"/>
    </row>
    <row r="1373" s="198" customFormat="1" ht="12.75">
      <c r="A1373" s="202"/>
    </row>
    <row r="1374" s="198" customFormat="1" ht="12.75">
      <c r="A1374" s="202"/>
    </row>
    <row r="1375" s="198" customFormat="1" ht="12.75">
      <c r="A1375" s="202"/>
    </row>
    <row r="1376" s="198" customFormat="1" ht="12.75">
      <c r="A1376" s="202"/>
    </row>
    <row r="1377" s="198" customFormat="1" ht="12.75">
      <c r="A1377" s="202"/>
    </row>
    <row r="1378" s="198" customFormat="1" ht="12.75">
      <c r="A1378" s="202"/>
    </row>
    <row r="1379" s="198" customFormat="1" ht="12.75">
      <c r="A1379" s="202"/>
    </row>
    <row r="1380" s="198" customFormat="1" ht="12.75">
      <c r="A1380" s="202"/>
    </row>
    <row r="1381" s="198" customFormat="1" ht="12.75">
      <c r="A1381" s="202"/>
    </row>
    <row r="1382" s="198" customFormat="1" ht="12.75">
      <c r="A1382" s="202"/>
    </row>
    <row r="1383" s="198" customFormat="1" ht="12.75">
      <c r="A1383" s="202"/>
    </row>
    <row r="1384" s="198" customFormat="1" ht="12.75">
      <c r="A1384" s="202"/>
    </row>
    <row r="1385" s="198" customFormat="1" ht="12.75">
      <c r="A1385" s="202"/>
    </row>
    <row r="1386" s="198" customFormat="1" ht="12.75">
      <c r="A1386" s="202"/>
    </row>
    <row r="1387" s="198" customFormat="1" ht="12.75">
      <c r="A1387" s="202"/>
    </row>
    <row r="1388" s="198" customFormat="1" ht="12.75">
      <c r="A1388" s="202"/>
    </row>
    <row r="1389" s="198" customFormat="1" ht="12.75">
      <c r="A1389" s="202"/>
    </row>
    <row r="1390" s="198" customFormat="1" ht="12.75">
      <c r="A1390" s="202"/>
    </row>
    <row r="1391" s="198" customFormat="1" ht="12.75">
      <c r="A1391" s="202"/>
    </row>
    <row r="1392" s="198" customFormat="1" ht="12.75">
      <c r="A1392" s="202"/>
    </row>
    <row r="1393" s="198" customFormat="1" ht="12.75">
      <c r="A1393" s="202"/>
    </row>
    <row r="1394" s="198" customFormat="1" ht="12.75">
      <c r="A1394" s="202"/>
    </row>
    <row r="1395" s="198" customFormat="1" ht="12.75">
      <c r="A1395" s="202"/>
    </row>
    <row r="1396" s="198" customFormat="1" ht="12.75">
      <c r="A1396" s="202"/>
    </row>
    <row r="1397" s="198" customFormat="1" ht="12.75">
      <c r="A1397" s="202"/>
    </row>
    <row r="1398" s="198" customFormat="1" ht="12.75">
      <c r="A1398" s="202"/>
    </row>
    <row r="1399" s="198" customFormat="1" ht="12.75">
      <c r="A1399" s="202"/>
    </row>
    <row r="1400" s="198" customFormat="1" ht="12.75">
      <c r="A1400" s="202"/>
    </row>
    <row r="1401" s="198" customFormat="1" ht="12.75">
      <c r="A1401" s="202"/>
    </row>
    <row r="1402" s="198" customFormat="1" ht="12.75">
      <c r="A1402" s="202"/>
    </row>
    <row r="1403" s="198" customFormat="1" ht="12.75">
      <c r="A1403" s="202"/>
    </row>
    <row r="1404" s="198" customFormat="1" ht="12.75">
      <c r="A1404" s="202"/>
    </row>
    <row r="1405" s="198" customFormat="1" ht="12.75">
      <c r="A1405" s="202"/>
    </row>
    <row r="1406" s="198" customFormat="1" ht="12.75">
      <c r="A1406" s="202"/>
    </row>
    <row r="1407" s="198" customFormat="1" ht="12.75">
      <c r="A1407" s="202"/>
    </row>
    <row r="1408" s="198" customFormat="1" ht="12.75">
      <c r="A1408" s="202"/>
    </row>
    <row r="1409" s="198" customFormat="1" ht="12.75">
      <c r="A1409" s="202"/>
    </row>
    <row r="1410" s="198" customFormat="1" ht="12.75">
      <c r="A1410" s="202"/>
    </row>
    <row r="1411" s="198" customFormat="1" ht="12.75">
      <c r="A1411" s="202"/>
    </row>
    <row r="1412" s="198" customFormat="1" ht="12.75">
      <c r="A1412" s="202"/>
    </row>
    <row r="1413" s="198" customFormat="1" ht="12.75">
      <c r="A1413" s="202"/>
    </row>
    <row r="1414" s="198" customFormat="1" ht="12.75">
      <c r="A1414" s="202"/>
    </row>
    <row r="1415" s="198" customFormat="1" ht="12.75">
      <c r="A1415" s="202"/>
    </row>
    <row r="1416" s="198" customFormat="1" ht="12.75">
      <c r="A1416" s="202"/>
    </row>
    <row r="1417" s="198" customFormat="1" ht="12.75">
      <c r="A1417" s="202"/>
    </row>
    <row r="1418" s="198" customFormat="1" ht="12.75">
      <c r="A1418" s="202"/>
    </row>
    <row r="1419" s="198" customFormat="1" ht="12.75">
      <c r="A1419" s="202"/>
    </row>
    <row r="1420" s="198" customFormat="1" ht="12.75">
      <c r="A1420" s="202"/>
    </row>
    <row r="1421" s="198" customFormat="1" ht="12.75">
      <c r="A1421" s="202"/>
    </row>
    <row r="1422" s="198" customFormat="1" ht="12.75">
      <c r="A1422" s="202"/>
    </row>
    <row r="1423" s="198" customFormat="1" ht="12.75">
      <c r="A1423" s="202"/>
    </row>
    <row r="1424" s="198" customFormat="1" ht="12.75">
      <c r="A1424" s="202"/>
    </row>
    <row r="1425" s="198" customFormat="1" ht="12.75">
      <c r="A1425" s="202"/>
    </row>
    <row r="1426" s="198" customFormat="1" ht="12.75">
      <c r="A1426" s="202"/>
    </row>
    <row r="1427" s="198" customFormat="1" ht="12.75">
      <c r="A1427" s="202"/>
    </row>
    <row r="1428" s="198" customFormat="1" ht="12.75">
      <c r="A1428" s="202"/>
    </row>
    <row r="1429" s="198" customFormat="1" ht="12.75">
      <c r="A1429" s="202"/>
    </row>
    <row r="1430" s="198" customFormat="1" ht="12.75">
      <c r="A1430" s="202"/>
    </row>
    <row r="1431" s="198" customFormat="1" ht="12.75">
      <c r="A1431" s="202"/>
    </row>
    <row r="1432" s="198" customFormat="1" ht="12.75">
      <c r="A1432" s="202"/>
    </row>
    <row r="1433" s="198" customFormat="1" ht="12.75">
      <c r="A1433" s="202"/>
    </row>
    <row r="1434" s="198" customFormat="1" ht="12.75">
      <c r="A1434" s="202"/>
    </row>
    <row r="1435" s="198" customFormat="1" ht="12.75">
      <c r="A1435" s="202"/>
    </row>
    <row r="1436" s="198" customFormat="1" ht="12.75">
      <c r="A1436" s="202"/>
    </row>
    <row r="1437" s="198" customFormat="1" ht="12.75">
      <c r="A1437" s="202"/>
    </row>
    <row r="1438" s="198" customFormat="1" ht="12.75">
      <c r="A1438" s="202"/>
    </row>
    <row r="1439" s="198" customFormat="1" ht="12.75">
      <c r="A1439" s="202"/>
    </row>
    <row r="1440" s="198" customFormat="1" ht="12.75">
      <c r="A1440" s="202"/>
    </row>
    <row r="1441" s="198" customFormat="1" ht="12.75">
      <c r="A1441" s="202"/>
    </row>
    <row r="1442" s="198" customFormat="1" ht="12.75">
      <c r="A1442" s="202"/>
    </row>
    <row r="1443" s="198" customFormat="1" ht="12.75">
      <c r="A1443" s="202"/>
    </row>
    <row r="1444" s="198" customFormat="1" ht="12.75">
      <c r="A1444" s="202"/>
    </row>
    <row r="1445" s="198" customFormat="1" ht="12.75">
      <c r="A1445" s="202"/>
    </row>
    <row r="1446" s="198" customFormat="1" ht="12.75">
      <c r="A1446" s="202"/>
    </row>
    <row r="1447" s="198" customFormat="1" ht="12.75">
      <c r="A1447" s="202"/>
    </row>
    <row r="1448" s="198" customFormat="1" ht="12.75">
      <c r="A1448" s="202"/>
    </row>
    <row r="1449" s="198" customFormat="1" ht="12.75">
      <c r="A1449" s="202"/>
    </row>
    <row r="1450" s="198" customFormat="1" ht="12.75">
      <c r="A1450" s="202"/>
    </row>
    <row r="1451" s="198" customFormat="1" ht="12.75">
      <c r="A1451" s="202"/>
    </row>
    <row r="1452" s="198" customFormat="1" ht="12.75">
      <c r="A1452" s="202"/>
    </row>
    <row r="1453" s="198" customFormat="1" ht="12.75">
      <c r="A1453" s="202"/>
    </row>
    <row r="1454" s="198" customFormat="1" ht="12.75">
      <c r="A1454" s="202"/>
    </row>
    <row r="1455" s="198" customFormat="1" ht="12.75">
      <c r="A1455" s="202"/>
    </row>
    <row r="1456" s="198" customFormat="1" ht="12.75">
      <c r="A1456" s="202"/>
    </row>
    <row r="1457" s="198" customFormat="1" ht="12.75">
      <c r="A1457" s="202"/>
    </row>
    <row r="1458" s="198" customFormat="1" ht="12.75">
      <c r="A1458" s="202"/>
    </row>
    <row r="1459" s="198" customFormat="1" ht="12.75">
      <c r="A1459" s="202"/>
    </row>
    <row r="1460" s="198" customFormat="1" ht="12.75">
      <c r="A1460" s="202"/>
    </row>
    <row r="1461" s="198" customFormat="1" ht="12.75">
      <c r="A1461" s="202"/>
    </row>
    <row r="1462" s="198" customFormat="1" ht="12.75">
      <c r="A1462" s="202"/>
    </row>
    <row r="1463" s="198" customFormat="1" ht="12.75">
      <c r="A1463" s="202"/>
    </row>
    <row r="1464" s="198" customFormat="1" ht="12.75">
      <c r="A1464" s="202"/>
    </row>
    <row r="1465" s="198" customFormat="1" ht="12.75">
      <c r="A1465" s="202"/>
    </row>
    <row r="1466" s="198" customFormat="1" ht="12.75">
      <c r="A1466" s="202"/>
    </row>
    <row r="1467" s="198" customFormat="1" ht="12.75">
      <c r="A1467" s="202"/>
    </row>
    <row r="1468" s="198" customFormat="1" ht="12.75">
      <c r="A1468" s="202"/>
    </row>
    <row r="1469" s="198" customFormat="1" ht="12.75">
      <c r="A1469" s="202"/>
    </row>
    <row r="1470" s="198" customFormat="1" ht="12.75">
      <c r="A1470" s="202"/>
    </row>
    <row r="1471" s="198" customFormat="1" ht="12.75">
      <c r="A1471" s="202"/>
    </row>
    <row r="1472" s="198" customFormat="1" ht="12.75">
      <c r="A1472" s="202"/>
    </row>
    <row r="1473" s="198" customFormat="1" ht="12.75">
      <c r="A1473" s="202"/>
    </row>
    <row r="1474" s="198" customFormat="1" ht="12.75">
      <c r="A1474" s="202"/>
    </row>
    <row r="1475" s="198" customFormat="1" ht="12.75">
      <c r="A1475" s="202"/>
    </row>
    <row r="1476" s="198" customFormat="1" ht="12.75">
      <c r="A1476" s="202"/>
    </row>
    <row r="1477" s="198" customFormat="1" ht="12.75">
      <c r="A1477" s="202"/>
    </row>
    <row r="1478" s="198" customFormat="1" ht="12.75">
      <c r="A1478" s="202"/>
    </row>
    <row r="1479" s="198" customFormat="1" ht="12.75">
      <c r="A1479" s="202"/>
    </row>
    <row r="1480" s="198" customFormat="1" ht="12.75">
      <c r="A1480" s="202"/>
    </row>
    <row r="1481" s="198" customFormat="1" ht="12.75">
      <c r="A1481" s="202"/>
    </row>
    <row r="1482" s="198" customFormat="1" ht="12.75">
      <c r="A1482" s="202"/>
    </row>
    <row r="1483" s="198" customFormat="1" ht="12.75">
      <c r="A1483" s="202"/>
    </row>
    <row r="1484" s="198" customFormat="1" ht="12.75">
      <c r="A1484" s="202"/>
    </row>
    <row r="1485" s="198" customFormat="1" ht="12.75">
      <c r="A1485" s="202"/>
    </row>
    <row r="1486" s="198" customFormat="1" ht="12.75">
      <c r="A1486" s="202"/>
    </row>
    <row r="1487" s="198" customFormat="1" ht="12.75">
      <c r="A1487" s="202"/>
    </row>
    <row r="1488" s="198" customFormat="1" ht="12.75">
      <c r="A1488" s="202"/>
    </row>
    <row r="1489" s="198" customFormat="1" ht="12.75">
      <c r="A1489" s="202"/>
    </row>
    <row r="1490" s="198" customFormat="1" ht="12.75">
      <c r="A1490" s="202"/>
    </row>
    <row r="1491" s="198" customFormat="1" ht="12.75">
      <c r="A1491" s="202"/>
    </row>
    <row r="1492" s="198" customFormat="1" ht="12.75">
      <c r="A1492" s="202"/>
    </row>
    <row r="1493" s="198" customFormat="1" ht="12.75">
      <c r="A1493" s="202"/>
    </row>
    <row r="1494" s="198" customFormat="1" ht="12.75">
      <c r="A1494" s="202"/>
    </row>
    <row r="1495" s="198" customFormat="1" ht="12.75">
      <c r="A1495" s="202"/>
    </row>
    <row r="1496" s="198" customFormat="1" ht="12.75">
      <c r="A1496" s="202"/>
    </row>
    <row r="1497" s="198" customFormat="1" ht="12.75">
      <c r="A1497" s="202"/>
    </row>
    <row r="1498" s="198" customFormat="1" ht="12.75">
      <c r="A1498" s="202"/>
    </row>
    <row r="1499" s="198" customFormat="1" ht="12.75">
      <c r="A1499" s="202"/>
    </row>
    <row r="1500" s="198" customFormat="1" ht="12.75">
      <c r="A1500" s="202"/>
    </row>
    <row r="1501" s="198" customFormat="1" ht="12.75">
      <c r="A1501" s="202"/>
    </row>
    <row r="1502" s="198" customFormat="1" ht="12.75">
      <c r="A1502" s="202"/>
    </row>
    <row r="1503" s="198" customFormat="1" ht="12.75">
      <c r="A1503" s="202"/>
    </row>
    <row r="1504" s="198" customFormat="1" ht="12.75">
      <c r="A1504" s="202"/>
    </row>
    <row r="1505" s="198" customFormat="1" ht="12.75">
      <c r="A1505" s="202"/>
    </row>
    <row r="1506" s="198" customFormat="1" ht="12.75">
      <c r="A1506" s="202"/>
    </row>
    <row r="1507" s="198" customFormat="1" ht="12.75">
      <c r="A1507" s="202"/>
    </row>
    <row r="1508" s="198" customFormat="1" ht="12.75">
      <c r="A1508" s="202"/>
    </row>
    <row r="1509" s="198" customFormat="1" ht="12.75">
      <c r="A1509" s="202"/>
    </row>
    <row r="1510" s="198" customFormat="1" ht="12.75">
      <c r="A1510" s="202"/>
    </row>
    <row r="1511" s="198" customFormat="1" ht="12.75">
      <c r="A1511" s="202"/>
    </row>
    <row r="1512" s="198" customFormat="1" ht="12.75">
      <c r="A1512" s="202"/>
    </row>
    <row r="1513" s="198" customFormat="1" ht="12.75">
      <c r="A1513" s="202"/>
    </row>
    <row r="1514" s="198" customFormat="1" ht="12.75">
      <c r="A1514" s="202"/>
    </row>
    <row r="1515" s="198" customFormat="1" ht="12.75">
      <c r="A1515" s="202"/>
    </row>
    <row r="1516" s="198" customFormat="1" ht="12.75">
      <c r="A1516" s="202"/>
    </row>
    <row r="1517" s="198" customFormat="1" ht="12.75">
      <c r="A1517" s="202"/>
    </row>
    <row r="1518" s="198" customFormat="1" ht="12.75">
      <c r="A1518" s="202"/>
    </row>
    <row r="1519" s="198" customFormat="1" ht="12.75">
      <c r="A1519" s="202"/>
    </row>
    <row r="1520" s="198" customFormat="1" ht="12.75">
      <c r="A1520" s="202"/>
    </row>
    <row r="1521" s="198" customFormat="1" ht="12.75">
      <c r="A1521" s="202"/>
    </row>
    <row r="1522" s="198" customFormat="1" ht="12.75">
      <c r="A1522" s="202"/>
    </row>
    <row r="1523" s="198" customFormat="1" ht="12.75">
      <c r="A1523" s="202"/>
    </row>
    <row r="1524" s="198" customFormat="1" ht="12.75">
      <c r="A1524" s="202"/>
    </row>
    <row r="1525" s="198" customFormat="1" ht="12.75">
      <c r="A1525" s="202"/>
    </row>
    <row r="1526" s="198" customFormat="1" ht="12.75">
      <c r="A1526" s="202"/>
    </row>
    <row r="1527" s="198" customFormat="1" ht="12.75">
      <c r="A1527" s="202"/>
    </row>
    <row r="1528" s="198" customFormat="1" ht="12.75">
      <c r="A1528" s="202"/>
    </row>
    <row r="1529" s="198" customFormat="1" ht="12.75">
      <c r="A1529" s="202"/>
    </row>
    <row r="1530" s="198" customFormat="1" ht="12.75">
      <c r="A1530" s="202"/>
    </row>
    <row r="1531" s="198" customFormat="1" ht="12.75">
      <c r="A1531" s="202"/>
    </row>
    <row r="1532" s="198" customFormat="1" ht="12.75">
      <c r="A1532" s="202"/>
    </row>
    <row r="1533" s="198" customFormat="1" ht="12.75">
      <c r="A1533" s="202"/>
    </row>
    <row r="1534" s="198" customFormat="1" ht="12.75">
      <c r="A1534" s="202"/>
    </row>
    <row r="1535" s="198" customFormat="1" ht="12.75">
      <c r="A1535" s="202"/>
    </row>
    <row r="1536" s="198" customFormat="1" ht="12.75">
      <c r="A1536" s="202"/>
    </row>
    <row r="1537" s="198" customFormat="1" ht="12.75">
      <c r="A1537" s="202"/>
    </row>
    <row r="1538" s="198" customFormat="1" ht="12.75">
      <c r="A1538" s="202"/>
    </row>
    <row r="1539" s="198" customFormat="1" ht="12.75">
      <c r="A1539" s="202"/>
    </row>
    <row r="1540" s="198" customFormat="1" ht="12.75">
      <c r="A1540" s="202"/>
    </row>
    <row r="1541" s="198" customFormat="1" ht="12.75">
      <c r="A1541" s="202"/>
    </row>
    <row r="1542" s="198" customFormat="1" ht="12.75">
      <c r="A1542" s="202"/>
    </row>
    <row r="1543" s="198" customFormat="1" ht="12.75">
      <c r="A1543" s="202"/>
    </row>
    <row r="1544" s="198" customFormat="1" ht="12.75">
      <c r="A1544" s="202"/>
    </row>
    <row r="1545" s="198" customFormat="1" ht="12.75">
      <c r="A1545" s="202"/>
    </row>
    <row r="1546" s="198" customFormat="1" ht="12.75">
      <c r="A1546" s="202"/>
    </row>
    <row r="1547" s="198" customFormat="1" ht="12.75">
      <c r="A1547" s="202"/>
    </row>
    <row r="1548" s="198" customFormat="1" ht="12.75">
      <c r="A1548" s="202"/>
    </row>
    <row r="1549" s="198" customFormat="1" ht="12.75">
      <c r="A1549" s="202"/>
    </row>
    <row r="1550" s="198" customFormat="1" ht="12.75">
      <c r="A1550" s="202"/>
    </row>
    <row r="1551" s="198" customFormat="1" ht="12.75">
      <c r="A1551" s="202"/>
    </row>
    <row r="1552" s="198" customFormat="1" ht="12.75">
      <c r="A1552" s="202"/>
    </row>
    <row r="1553" s="198" customFormat="1" ht="12.75">
      <c r="A1553" s="202"/>
    </row>
    <row r="1554" s="198" customFormat="1" ht="12.75">
      <c r="A1554" s="202"/>
    </row>
    <row r="1555" s="198" customFormat="1" ht="12.75">
      <c r="A1555" s="202"/>
    </row>
    <row r="1556" s="198" customFormat="1" ht="12.75">
      <c r="A1556" s="202"/>
    </row>
    <row r="1557" s="198" customFormat="1" ht="12.75">
      <c r="A1557" s="202"/>
    </row>
    <row r="1558" s="198" customFormat="1" ht="12.75">
      <c r="A1558" s="202"/>
    </row>
    <row r="1559" s="198" customFormat="1" ht="12.75">
      <c r="A1559" s="202"/>
    </row>
    <row r="1560" s="198" customFormat="1" ht="12.75">
      <c r="A1560" s="202"/>
    </row>
    <row r="1561" s="198" customFormat="1" ht="12.75">
      <c r="A1561" s="202"/>
    </row>
    <row r="1562" s="198" customFormat="1" ht="12.75">
      <c r="A1562" s="202"/>
    </row>
    <row r="1563" s="198" customFormat="1" ht="12.75">
      <c r="A1563" s="202"/>
    </row>
    <row r="1564" s="198" customFormat="1" ht="12.75">
      <c r="A1564" s="202"/>
    </row>
    <row r="1565" s="198" customFormat="1" ht="12.75">
      <c r="A1565" s="202"/>
    </row>
    <row r="1566" s="198" customFormat="1" ht="12.75">
      <c r="A1566" s="202"/>
    </row>
    <row r="1567" s="198" customFormat="1" ht="12.75">
      <c r="A1567" s="202"/>
    </row>
    <row r="1568" s="198" customFormat="1" ht="12.75">
      <c r="A1568" s="202"/>
    </row>
    <row r="1569" s="198" customFormat="1" ht="12.75">
      <c r="A1569" s="202"/>
    </row>
    <row r="1570" s="198" customFormat="1" ht="12.75">
      <c r="A1570" s="202"/>
    </row>
    <row r="1571" s="198" customFormat="1" ht="12.75">
      <c r="A1571" s="202"/>
    </row>
    <row r="1572" s="198" customFormat="1" ht="12.75">
      <c r="A1572" s="202"/>
    </row>
    <row r="1573" s="198" customFormat="1" ht="12.75">
      <c r="A1573" s="202"/>
    </row>
    <row r="1574" s="198" customFormat="1" ht="12.75">
      <c r="A1574" s="202"/>
    </row>
    <row r="1575" s="198" customFormat="1" ht="12.75">
      <c r="A1575" s="202"/>
    </row>
    <row r="1576" s="198" customFormat="1" ht="12.75">
      <c r="A1576" s="202"/>
    </row>
    <row r="1577" s="198" customFormat="1" ht="12.75">
      <c r="A1577" s="202"/>
    </row>
    <row r="1578" s="198" customFormat="1" ht="12.75">
      <c r="A1578" s="202"/>
    </row>
    <row r="1579" s="198" customFormat="1" ht="12.75">
      <c r="A1579" s="202"/>
    </row>
    <row r="1580" s="198" customFormat="1" ht="12.75">
      <c r="A1580" s="202"/>
    </row>
    <row r="1581" s="198" customFormat="1" ht="12.75">
      <c r="A1581" s="202"/>
    </row>
    <row r="1582" s="198" customFormat="1" ht="12.75">
      <c r="A1582" s="202"/>
    </row>
    <row r="1583" s="198" customFormat="1" ht="12.75">
      <c r="A1583" s="202"/>
    </row>
    <row r="1584" s="198" customFormat="1" ht="12.75">
      <c r="A1584" s="202"/>
    </row>
    <row r="1585" s="198" customFormat="1" ht="12.75">
      <c r="A1585" s="202"/>
    </row>
    <row r="1586" s="198" customFormat="1" ht="12.75">
      <c r="A1586" s="202"/>
    </row>
    <row r="1587" s="198" customFormat="1" ht="12.75">
      <c r="A1587" s="202"/>
    </row>
    <row r="1588" s="198" customFormat="1" ht="12.75">
      <c r="A1588" s="202"/>
    </row>
    <row r="1589" s="198" customFormat="1" ht="12.75">
      <c r="A1589" s="202"/>
    </row>
    <row r="1590" s="198" customFormat="1" ht="12.75">
      <c r="A1590" s="202"/>
    </row>
    <row r="1591" s="198" customFormat="1" ht="12.75">
      <c r="A1591" s="202"/>
    </row>
    <row r="1592" s="198" customFormat="1" ht="12.75">
      <c r="A1592" s="202"/>
    </row>
    <row r="1593" s="198" customFormat="1" ht="12.75">
      <c r="A1593" s="202"/>
    </row>
    <row r="1594" s="198" customFormat="1" ht="12.75">
      <c r="A1594" s="202"/>
    </row>
    <row r="1595" s="198" customFormat="1" ht="12.75">
      <c r="A1595" s="202"/>
    </row>
    <row r="1596" s="198" customFormat="1" ht="12.75">
      <c r="A1596" s="202"/>
    </row>
    <row r="1597" s="198" customFormat="1" ht="12.75">
      <c r="A1597" s="202"/>
    </row>
    <row r="1598" s="198" customFormat="1" ht="12.75">
      <c r="A1598" s="202"/>
    </row>
    <row r="1599" s="198" customFormat="1" ht="12.75">
      <c r="A1599" s="202"/>
    </row>
    <row r="1600" s="198" customFormat="1" ht="12.75">
      <c r="A1600" s="202"/>
    </row>
    <row r="1601" s="198" customFormat="1" ht="12.75">
      <c r="A1601" s="202"/>
    </row>
    <row r="1602" s="198" customFormat="1" ht="12.75">
      <c r="A1602" s="202"/>
    </row>
    <row r="1603" s="198" customFormat="1" ht="12.75">
      <c r="A1603" s="202"/>
    </row>
    <row r="1604" s="198" customFormat="1" ht="12.75">
      <c r="A1604" s="202"/>
    </row>
    <row r="1605" s="198" customFormat="1" ht="12.75">
      <c r="A1605" s="202"/>
    </row>
    <row r="1606" s="198" customFormat="1" ht="12.75">
      <c r="A1606" s="202"/>
    </row>
    <row r="1607" s="198" customFormat="1" ht="12.75">
      <c r="A1607" s="202"/>
    </row>
    <row r="1608" s="198" customFormat="1" ht="12.75">
      <c r="A1608" s="202"/>
    </row>
    <row r="1609" s="198" customFormat="1" ht="12.75">
      <c r="A1609" s="202"/>
    </row>
    <row r="1610" s="198" customFormat="1" ht="12.75">
      <c r="A1610" s="202"/>
    </row>
    <row r="1611" s="198" customFormat="1" ht="12.75">
      <c r="A1611" s="202"/>
    </row>
    <row r="1612" s="198" customFormat="1" ht="12.75">
      <c r="A1612" s="202"/>
    </row>
    <row r="1613" s="198" customFormat="1" ht="12.75">
      <c r="A1613" s="202"/>
    </row>
    <row r="1614" s="198" customFormat="1" ht="12.75">
      <c r="A1614" s="202"/>
    </row>
    <row r="1615" s="198" customFormat="1" ht="12.75">
      <c r="A1615" s="202"/>
    </row>
    <row r="1616" s="198" customFormat="1" ht="12.75">
      <c r="A1616" s="202"/>
    </row>
    <row r="1617" s="198" customFormat="1" ht="12.75">
      <c r="A1617" s="202"/>
    </row>
    <row r="1618" s="198" customFormat="1" ht="12.75">
      <c r="A1618" s="202"/>
    </row>
    <row r="1619" s="198" customFormat="1" ht="12.75">
      <c r="A1619" s="202"/>
    </row>
    <row r="1620" s="198" customFormat="1" ht="12.75">
      <c r="A1620" s="202"/>
    </row>
    <row r="1621" s="198" customFormat="1" ht="12.75">
      <c r="A1621" s="202"/>
    </row>
    <row r="1622" s="198" customFormat="1" ht="12.75">
      <c r="A1622" s="202"/>
    </row>
    <row r="1623" s="198" customFormat="1" ht="12.75">
      <c r="A1623" s="202"/>
    </row>
    <row r="1624" s="198" customFormat="1" ht="12.75">
      <c r="A1624" s="202"/>
    </row>
    <row r="1625" s="198" customFormat="1" ht="12.75">
      <c r="A1625" s="202"/>
    </row>
    <row r="1626" s="198" customFormat="1" ht="12.75">
      <c r="A1626" s="202"/>
    </row>
    <row r="1627" s="198" customFormat="1" ht="12.75">
      <c r="A1627" s="202"/>
    </row>
    <row r="1628" s="198" customFormat="1" ht="12.75">
      <c r="A1628" s="202"/>
    </row>
    <row r="1629" s="198" customFormat="1" ht="12.75">
      <c r="A1629" s="202"/>
    </row>
    <row r="1630" s="198" customFormat="1" ht="12.75">
      <c r="A1630" s="202"/>
    </row>
    <row r="1631" s="198" customFormat="1" ht="12.75">
      <c r="A1631" s="202"/>
    </row>
    <row r="1632" s="198" customFormat="1" ht="12.75">
      <c r="A1632" s="202"/>
    </row>
    <row r="1633" s="198" customFormat="1" ht="12.75">
      <c r="A1633" s="202"/>
    </row>
    <row r="1634" s="198" customFormat="1" ht="12.75">
      <c r="A1634" s="202"/>
    </row>
    <row r="1635" s="198" customFormat="1" ht="12.75">
      <c r="A1635" s="202"/>
    </row>
    <row r="1636" s="198" customFormat="1" ht="12.75">
      <c r="A1636" s="202"/>
    </row>
    <row r="1637" s="198" customFormat="1" ht="12.75">
      <c r="A1637" s="202"/>
    </row>
    <row r="1638" s="198" customFormat="1" ht="12.75">
      <c r="A1638" s="202"/>
    </row>
    <row r="1639" s="198" customFormat="1" ht="12.75">
      <c r="A1639" s="202"/>
    </row>
    <row r="1640" s="198" customFormat="1" ht="12.75">
      <c r="A1640" s="202"/>
    </row>
    <row r="1641" s="198" customFormat="1" ht="12.75">
      <c r="A1641" s="202"/>
    </row>
    <row r="1642" s="198" customFormat="1" ht="12.75">
      <c r="A1642" s="202"/>
    </row>
    <row r="1643" s="198" customFormat="1" ht="12.75">
      <c r="A1643" s="202"/>
    </row>
    <row r="1644" s="198" customFormat="1" ht="12.75">
      <c r="A1644" s="202"/>
    </row>
    <row r="1645" s="198" customFormat="1" ht="12.75">
      <c r="A1645" s="202"/>
    </row>
    <row r="1646" s="198" customFormat="1" ht="12.75">
      <c r="A1646" s="202"/>
    </row>
    <row r="1647" s="198" customFormat="1" ht="12.75">
      <c r="A1647" s="202"/>
    </row>
    <row r="1648" s="198" customFormat="1" ht="12.75">
      <c r="A1648" s="202"/>
    </row>
    <row r="1649" s="198" customFormat="1" ht="12.75">
      <c r="A1649" s="202"/>
    </row>
    <row r="1650" s="198" customFormat="1" ht="12.75">
      <c r="A1650" s="202"/>
    </row>
    <row r="1651" s="198" customFormat="1" ht="12.75">
      <c r="A1651" s="202"/>
    </row>
    <row r="1652" s="198" customFormat="1" ht="12.75">
      <c r="A1652" s="202"/>
    </row>
    <row r="1653" s="198" customFormat="1" ht="12.75">
      <c r="A1653" s="202"/>
    </row>
    <row r="1654" s="198" customFormat="1" ht="12.75">
      <c r="A1654" s="202"/>
    </row>
    <row r="1655" s="198" customFormat="1" ht="12.75">
      <c r="A1655" s="202"/>
    </row>
    <row r="1656" s="198" customFormat="1" ht="12.75">
      <c r="A1656" s="202"/>
    </row>
    <row r="1657" s="198" customFormat="1" ht="12.75">
      <c r="A1657" s="202"/>
    </row>
    <row r="1658" s="198" customFormat="1" ht="12.75">
      <c r="A1658" s="202"/>
    </row>
    <row r="1659" s="198" customFormat="1" ht="12.75">
      <c r="A1659" s="202"/>
    </row>
    <row r="1660" s="198" customFormat="1" ht="12.75">
      <c r="A1660" s="202"/>
    </row>
    <row r="1661" s="198" customFormat="1" ht="12.75">
      <c r="A1661" s="202"/>
    </row>
    <row r="1662" s="198" customFormat="1" ht="12.75">
      <c r="A1662" s="202"/>
    </row>
    <row r="1663" s="198" customFormat="1" ht="12.75">
      <c r="A1663" s="202"/>
    </row>
    <row r="1664" s="198" customFormat="1" ht="12.75">
      <c r="A1664" s="202"/>
    </row>
    <row r="1665" s="198" customFormat="1" ht="12.75">
      <c r="A1665" s="202"/>
    </row>
    <row r="1666" s="198" customFormat="1" ht="12.75">
      <c r="A1666" s="202"/>
    </row>
    <row r="1667" s="198" customFormat="1" ht="12.75">
      <c r="A1667" s="202"/>
    </row>
    <row r="1668" s="198" customFormat="1" ht="12.75">
      <c r="A1668" s="202"/>
    </row>
    <row r="1669" s="198" customFormat="1" ht="12.75">
      <c r="A1669" s="202"/>
    </row>
    <row r="1670" s="198" customFormat="1" ht="12.75">
      <c r="A1670" s="202"/>
    </row>
    <row r="1671" s="198" customFormat="1" ht="12.75">
      <c r="A1671" s="202"/>
    </row>
    <row r="1672" s="198" customFormat="1" ht="12.75">
      <c r="A1672" s="202"/>
    </row>
    <row r="1673" s="198" customFormat="1" ht="12.75">
      <c r="A1673" s="202"/>
    </row>
    <row r="1674" s="198" customFormat="1" ht="12.75">
      <c r="A1674" s="202"/>
    </row>
    <row r="1675" s="198" customFormat="1" ht="12.75">
      <c r="A1675" s="202"/>
    </row>
    <row r="1676" s="198" customFormat="1" ht="12.75">
      <c r="A1676" s="202"/>
    </row>
    <row r="1677" s="198" customFormat="1" ht="12.75">
      <c r="A1677" s="202"/>
    </row>
    <row r="1678" s="198" customFormat="1" ht="12.75">
      <c r="A1678" s="202"/>
    </row>
    <row r="1679" s="198" customFormat="1" ht="12.75">
      <c r="A1679" s="202"/>
    </row>
    <row r="1680" s="198" customFormat="1" ht="12.75">
      <c r="A1680" s="202"/>
    </row>
    <row r="1681" s="198" customFormat="1" ht="12.75">
      <c r="A1681" s="202"/>
    </row>
    <row r="1682" s="198" customFormat="1" ht="12.75">
      <c r="A1682" s="202"/>
    </row>
    <row r="1683" s="198" customFormat="1" ht="12.75">
      <c r="A1683" s="202"/>
    </row>
    <row r="1684" s="198" customFormat="1" ht="12.75">
      <c r="A1684" s="202"/>
    </row>
    <row r="1685" s="198" customFormat="1" ht="12.75">
      <c r="A1685" s="202"/>
    </row>
    <row r="1686" s="198" customFormat="1" ht="12.75">
      <c r="A1686" s="202"/>
    </row>
    <row r="1687" s="198" customFormat="1" ht="12.75">
      <c r="A1687" s="202"/>
    </row>
    <row r="1688" s="198" customFormat="1" ht="12.75">
      <c r="A1688" s="202"/>
    </row>
    <row r="1689" s="198" customFormat="1" ht="12.75">
      <c r="A1689" s="202"/>
    </row>
    <row r="1690" s="198" customFormat="1" ht="12.75">
      <c r="A1690" s="202"/>
    </row>
    <row r="1691" s="198" customFormat="1" ht="12.75">
      <c r="A1691" s="202"/>
    </row>
    <row r="1692" s="198" customFormat="1" ht="12.75">
      <c r="A1692" s="202"/>
    </row>
    <row r="1693" s="198" customFormat="1" ht="12.75">
      <c r="A1693" s="202"/>
    </row>
    <row r="1694" s="198" customFormat="1" ht="12.75">
      <c r="A1694" s="202"/>
    </row>
    <row r="1695" s="198" customFormat="1" ht="12.75">
      <c r="A1695" s="202"/>
    </row>
    <row r="1696" s="198" customFormat="1" ht="12.75">
      <c r="A1696" s="202"/>
    </row>
    <row r="1697" s="198" customFormat="1" ht="12.75">
      <c r="A1697" s="202"/>
    </row>
    <row r="1698" s="198" customFormat="1" ht="12.75">
      <c r="A1698" s="202"/>
    </row>
    <row r="1699" s="198" customFormat="1" ht="12.75">
      <c r="A1699" s="202"/>
    </row>
    <row r="1700" s="198" customFormat="1" ht="12.75">
      <c r="A1700" s="202"/>
    </row>
    <row r="1701" s="198" customFormat="1" ht="12.75">
      <c r="A1701" s="202"/>
    </row>
    <row r="1702" s="198" customFormat="1" ht="12.75">
      <c r="A1702" s="202"/>
    </row>
    <row r="1703" s="198" customFormat="1" ht="12.75">
      <c r="A1703" s="202"/>
    </row>
    <row r="1704" s="198" customFormat="1" ht="12.75">
      <c r="A1704" s="202"/>
    </row>
    <row r="1705" s="198" customFormat="1" ht="12.75">
      <c r="A1705" s="202"/>
    </row>
    <row r="1706" s="198" customFormat="1" ht="12.75">
      <c r="A1706" s="202"/>
    </row>
    <row r="1707" s="198" customFormat="1" ht="12.75">
      <c r="A1707" s="202"/>
    </row>
    <row r="1708" s="198" customFormat="1" ht="12.75">
      <c r="A1708" s="202"/>
    </row>
    <row r="1709" s="198" customFormat="1" ht="12.75">
      <c r="A1709" s="202"/>
    </row>
    <row r="1710" s="198" customFormat="1" ht="12.75">
      <c r="A1710" s="202"/>
    </row>
    <row r="1711" s="198" customFormat="1" ht="12.75">
      <c r="A1711" s="202"/>
    </row>
    <row r="1712" s="198" customFormat="1" ht="12.75">
      <c r="A1712" s="202"/>
    </row>
    <row r="1713" s="198" customFormat="1" ht="12.75">
      <c r="A1713" s="202"/>
    </row>
    <row r="1714" s="198" customFormat="1" ht="12.75">
      <c r="A1714" s="202"/>
    </row>
    <row r="1715" s="198" customFormat="1" ht="12.75">
      <c r="A1715" s="202"/>
    </row>
    <row r="1716" s="198" customFormat="1" ht="12.75">
      <c r="A1716" s="202"/>
    </row>
    <row r="1717" s="198" customFormat="1" ht="12.75">
      <c r="A1717" s="202"/>
    </row>
    <row r="1718" s="198" customFormat="1" ht="12.75">
      <c r="A1718" s="202"/>
    </row>
    <row r="1719" s="198" customFormat="1" ht="12.75">
      <c r="A1719" s="202"/>
    </row>
    <row r="1720" s="198" customFormat="1" ht="12.75">
      <c r="A1720" s="202"/>
    </row>
    <row r="1721" s="198" customFormat="1" ht="12.75">
      <c r="A1721" s="202"/>
    </row>
    <row r="1722" s="198" customFormat="1" ht="12.75">
      <c r="A1722" s="202"/>
    </row>
    <row r="1723" s="198" customFormat="1" ht="12.75">
      <c r="A1723" s="202"/>
    </row>
    <row r="1724" s="198" customFormat="1" ht="12.75">
      <c r="A1724" s="202"/>
    </row>
    <row r="1725" s="198" customFormat="1" ht="12.75">
      <c r="A1725" s="202"/>
    </row>
    <row r="1726" s="198" customFormat="1" ht="12.75">
      <c r="A1726" s="202"/>
    </row>
    <row r="1727" s="198" customFormat="1" ht="12.75">
      <c r="A1727" s="202"/>
    </row>
    <row r="1728" s="198" customFormat="1" ht="12.75">
      <c r="A1728" s="202"/>
    </row>
    <row r="1729" s="198" customFormat="1" ht="12.75">
      <c r="A1729" s="202"/>
    </row>
    <row r="1730" s="198" customFormat="1" ht="12.75">
      <c r="A1730" s="202"/>
    </row>
    <row r="1731" s="198" customFormat="1" ht="12.75">
      <c r="A1731" s="202"/>
    </row>
    <row r="1732" s="198" customFormat="1" ht="12.75">
      <c r="A1732" s="202"/>
    </row>
    <row r="1733" s="198" customFormat="1" ht="12.75">
      <c r="A1733" s="202"/>
    </row>
    <row r="1734" s="198" customFormat="1" ht="12.75">
      <c r="A1734" s="202"/>
    </row>
    <row r="1735" s="198" customFormat="1" ht="12.75">
      <c r="A1735" s="202"/>
    </row>
    <row r="1736" s="198" customFormat="1" ht="12.75">
      <c r="A1736" s="202"/>
    </row>
    <row r="1737" s="198" customFormat="1" ht="12.75">
      <c r="A1737" s="202"/>
    </row>
    <row r="1738" s="198" customFormat="1" ht="12.75">
      <c r="A1738" s="202"/>
    </row>
    <row r="1739" s="198" customFormat="1" ht="12.75">
      <c r="A1739" s="202"/>
    </row>
    <row r="1740" s="198" customFormat="1" ht="12.75">
      <c r="A1740" s="202"/>
    </row>
    <row r="1741" s="198" customFormat="1" ht="12.75">
      <c r="A1741" s="202"/>
    </row>
    <row r="1742" s="198" customFormat="1" ht="12.75">
      <c r="A1742" s="202"/>
    </row>
    <row r="1743" s="198" customFormat="1" ht="12.75">
      <c r="A1743" s="202"/>
    </row>
    <row r="1744" s="198" customFormat="1" ht="12.75">
      <c r="A1744" s="202"/>
    </row>
    <row r="1745" s="198" customFormat="1" ht="12.75">
      <c r="A1745" s="202"/>
    </row>
    <row r="1746" s="198" customFormat="1" ht="12.75">
      <c r="A1746" s="202"/>
    </row>
    <row r="1747" s="198" customFormat="1" ht="12.75">
      <c r="A1747" s="202"/>
    </row>
    <row r="1748" s="198" customFormat="1" ht="12.75">
      <c r="A1748" s="202"/>
    </row>
    <row r="1749" s="198" customFormat="1" ht="12.75">
      <c r="A1749" s="202"/>
    </row>
    <row r="1750" s="198" customFormat="1" ht="12.75">
      <c r="A1750" s="202"/>
    </row>
    <row r="1751" s="198" customFormat="1" ht="12.75">
      <c r="A1751" s="202"/>
    </row>
    <row r="1752" s="198" customFormat="1" ht="12.75">
      <c r="A1752" s="202"/>
    </row>
    <row r="1753" s="198" customFormat="1" ht="12.75">
      <c r="A1753" s="202"/>
    </row>
    <row r="1754" s="198" customFormat="1" ht="12.75">
      <c r="A1754" s="202"/>
    </row>
    <row r="1755" s="198" customFormat="1" ht="12.75">
      <c r="A1755" s="202"/>
    </row>
    <row r="1756" s="198" customFormat="1" ht="12.75">
      <c r="A1756" s="202"/>
    </row>
    <row r="1757" s="198" customFormat="1" ht="12.75">
      <c r="A1757" s="202"/>
    </row>
    <row r="1758" s="198" customFormat="1" ht="12.75">
      <c r="A1758" s="202"/>
    </row>
    <row r="1759" s="198" customFormat="1" ht="12.75">
      <c r="A1759" s="202"/>
    </row>
    <row r="1760" s="198" customFormat="1" ht="12.75">
      <c r="A1760" s="202"/>
    </row>
    <row r="1761" s="198" customFormat="1" ht="12.75">
      <c r="A1761" s="202"/>
    </row>
    <row r="1762" s="198" customFormat="1" ht="12.75">
      <c r="A1762" s="202"/>
    </row>
    <row r="1763" s="198" customFormat="1" ht="12.75">
      <c r="A1763" s="202"/>
    </row>
    <row r="1764" s="198" customFormat="1" ht="12.75">
      <c r="A1764" s="202"/>
    </row>
    <row r="1765" s="198" customFormat="1" ht="12.75">
      <c r="A1765" s="202"/>
    </row>
    <row r="1766" s="198" customFormat="1" ht="12.75">
      <c r="A1766" s="202"/>
    </row>
    <row r="1767" s="198" customFormat="1" ht="12.75">
      <c r="A1767" s="202"/>
    </row>
    <row r="1768" s="198" customFormat="1" ht="12.75">
      <c r="A1768" s="202"/>
    </row>
    <row r="1769" s="198" customFormat="1" ht="12.75">
      <c r="A1769" s="202"/>
    </row>
    <row r="1770" s="198" customFormat="1" ht="12.75">
      <c r="A1770" s="202"/>
    </row>
    <row r="1771" s="198" customFormat="1" ht="12.75">
      <c r="A1771" s="202"/>
    </row>
    <row r="1772" s="198" customFormat="1" ht="12.75">
      <c r="A1772" s="202"/>
    </row>
    <row r="1773" s="198" customFormat="1" ht="12.75">
      <c r="A1773" s="202"/>
    </row>
    <row r="1774" s="198" customFormat="1" ht="12.75">
      <c r="A1774" s="202"/>
    </row>
    <row r="1775" s="198" customFormat="1" ht="12.75">
      <c r="A1775" s="202"/>
    </row>
    <row r="1776" s="198" customFormat="1" ht="12.75">
      <c r="A1776" s="202"/>
    </row>
    <row r="1777" s="198" customFormat="1" ht="12.75">
      <c r="A1777" s="202"/>
    </row>
    <row r="1778" s="198" customFormat="1" ht="12.75">
      <c r="A1778" s="202"/>
    </row>
    <row r="1779" s="198" customFormat="1" ht="12.75">
      <c r="A1779" s="202"/>
    </row>
    <row r="1780" s="198" customFormat="1" ht="12.75">
      <c r="A1780" s="202"/>
    </row>
    <row r="1781" s="198" customFormat="1" ht="12.75">
      <c r="A1781" s="202"/>
    </row>
    <row r="1782" s="198" customFormat="1" ht="12.75">
      <c r="A1782" s="202"/>
    </row>
    <row r="1783" s="198" customFormat="1" ht="12.75">
      <c r="A1783" s="202"/>
    </row>
    <row r="1784" s="198" customFormat="1" ht="12.75">
      <c r="A1784" s="202"/>
    </row>
    <row r="1785" s="198" customFormat="1" ht="12.75">
      <c r="A1785" s="202"/>
    </row>
    <row r="1786" s="198" customFormat="1" ht="12.75">
      <c r="A1786" s="202"/>
    </row>
    <row r="1787" s="198" customFormat="1" ht="12.75">
      <c r="A1787" s="202"/>
    </row>
    <row r="1788" s="198" customFormat="1" ht="12.75">
      <c r="A1788" s="202"/>
    </row>
    <row r="1789" s="198" customFormat="1" ht="12.75">
      <c r="A1789" s="202"/>
    </row>
    <row r="1790" s="198" customFormat="1" ht="12.75">
      <c r="A1790" s="202"/>
    </row>
    <row r="1791" s="198" customFormat="1" ht="12.75">
      <c r="A1791" s="202"/>
    </row>
    <row r="1792" s="198" customFormat="1" ht="12.75">
      <c r="A1792" s="202"/>
    </row>
    <row r="1793" s="198" customFormat="1" ht="12.75">
      <c r="A1793" s="202"/>
    </row>
    <row r="1794" s="198" customFormat="1" ht="12.75">
      <c r="A1794" s="202"/>
    </row>
    <row r="1795" s="198" customFormat="1" ht="12.75">
      <c r="A1795" s="202"/>
    </row>
    <row r="1796" s="198" customFormat="1" ht="12.75">
      <c r="A1796" s="202"/>
    </row>
    <row r="1797" s="198" customFormat="1" ht="12.75">
      <c r="A1797" s="202"/>
    </row>
    <row r="1798" s="198" customFormat="1" ht="12.75">
      <c r="A1798" s="202"/>
    </row>
    <row r="1799" s="198" customFormat="1" ht="12.75">
      <c r="A1799" s="202"/>
    </row>
    <row r="1800" s="198" customFormat="1" ht="12.75">
      <c r="A1800" s="202"/>
    </row>
    <row r="1801" s="198" customFormat="1" ht="12.75">
      <c r="A1801" s="202"/>
    </row>
    <row r="1802" s="198" customFormat="1" ht="12.75">
      <c r="A1802" s="202"/>
    </row>
    <row r="1803" s="198" customFormat="1" ht="12.75">
      <c r="A1803" s="202"/>
    </row>
    <row r="1804" s="198" customFormat="1" ht="12.75">
      <c r="A1804" s="202"/>
    </row>
    <row r="1805" s="198" customFormat="1" ht="12.75">
      <c r="A1805" s="202"/>
    </row>
    <row r="1806" s="198" customFormat="1" ht="12.75">
      <c r="A1806" s="202"/>
    </row>
    <row r="1807" s="198" customFormat="1" ht="12.75">
      <c r="A1807" s="202"/>
    </row>
    <row r="1808" s="198" customFormat="1" ht="12.75">
      <c r="A1808" s="202"/>
    </row>
    <row r="1809" s="198" customFormat="1" ht="12.75">
      <c r="A1809" s="202"/>
    </row>
    <row r="1810" s="198" customFormat="1" ht="12.75">
      <c r="A1810" s="202"/>
    </row>
    <row r="1811" s="198" customFormat="1" ht="12.75">
      <c r="A1811" s="202"/>
    </row>
    <row r="1812" s="198" customFormat="1" ht="12.75">
      <c r="A1812" s="202"/>
    </row>
    <row r="1813" s="198" customFormat="1" ht="12.75">
      <c r="A1813" s="202"/>
    </row>
    <row r="1814" s="198" customFormat="1" ht="12.75">
      <c r="A1814" s="202"/>
    </row>
    <row r="1815" s="198" customFormat="1" ht="12.75">
      <c r="A1815" s="202"/>
    </row>
    <row r="1816" s="198" customFormat="1" ht="12.75">
      <c r="A1816" s="202"/>
    </row>
    <row r="1817" s="198" customFormat="1" ht="12.75">
      <c r="A1817" s="202"/>
    </row>
    <row r="1818" s="198" customFormat="1" ht="12.75">
      <c r="A1818" s="202"/>
    </row>
    <row r="1819" s="198" customFormat="1" ht="12.75">
      <c r="A1819" s="202"/>
    </row>
    <row r="1820" s="198" customFormat="1" ht="12.75">
      <c r="A1820" s="202"/>
    </row>
    <row r="1821" s="198" customFormat="1" ht="12.75">
      <c r="A1821" s="202"/>
    </row>
    <row r="1822" s="198" customFormat="1" ht="12.75">
      <c r="A1822" s="202"/>
    </row>
    <row r="1823" s="198" customFormat="1" ht="12.75">
      <c r="A1823" s="202"/>
    </row>
    <row r="1824" s="198" customFormat="1" ht="12.75">
      <c r="A1824" s="202"/>
    </row>
    <row r="1825" s="198" customFormat="1" ht="12.75">
      <c r="A1825" s="202"/>
    </row>
    <row r="1826" s="198" customFormat="1" ht="12.75">
      <c r="A1826" s="202"/>
    </row>
    <row r="1827" s="198" customFormat="1" ht="12.75">
      <c r="A1827" s="202"/>
    </row>
    <row r="1828" s="198" customFormat="1" ht="12.75">
      <c r="A1828" s="202"/>
    </row>
    <row r="1829" s="198" customFormat="1" ht="12.75">
      <c r="A1829" s="202"/>
    </row>
    <row r="1830" s="198" customFormat="1" ht="12.75">
      <c r="A1830" s="202"/>
    </row>
    <row r="1831" s="198" customFormat="1" ht="12.75">
      <c r="A1831" s="202"/>
    </row>
    <row r="1832" s="198" customFormat="1" ht="12.75">
      <c r="A1832" s="202"/>
    </row>
    <row r="1833" s="198" customFormat="1" ht="12.75">
      <c r="A1833" s="202"/>
    </row>
    <row r="1834" s="198" customFormat="1" ht="12.75">
      <c r="A1834" s="202"/>
    </row>
    <row r="1835" s="198" customFormat="1" ht="12.75">
      <c r="A1835" s="202"/>
    </row>
    <row r="1836" s="198" customFormat="1" ht="12.75">
      <c r="A1836" s="202"/>
    </row>
    <row r="1837" s="198" customFormat="1" ht="12.75">
      <c r="A1837" s="202"/>
    </row>
    <row r="1838" s="198" customFormat="1" ht="12.75">
      <c r="A1838" s="202"/>
    </row>
    <row r="1839" s="198" customFormat="1" ht="12.75">
      <c r="A1839" s="202"/>
    </row>
    <row r="1840" s="198" customFormat="1" ht="12.75">
      <c r="A1840" s="202"/>
    </row>
    <row r="1841" s="198" customFormat="1" ht="12.75">
      <c r="A1841" s="202"/>
    </row>
    <row r="1842" s="198" customFormat="1" ht="12.75">
      <c r="A1842" s="202"/>
    </row>
    <row r="1843" s="198" customFormat="1" ht="12.75">
      <c r="A1843" s="202"/>
    </row>
    <row r="1844" s="198" customFormat="1" ht="12.75">
      <c r="A1844" s="202"/>
    </row>
    <row r="1845" s="198" customFormat="1" ht="12.75">
      <c r="A1845" s="202"/>
    </row>
    <row r="1846" s="198" customFormat="1" ht="12.75">
      <c r="A1846" s="202"/>
    </row>
    <row r="1847" s="198" customFormat="1" ht="12.75">
      <c r="A1847" s="202"/>
    </row>
    <row r="1848" s="198" customFormat="1" ht="12.75">
      <c r="A1848" s="202"/>
    </row>
    <row r="1849" s="198" customFormat="1" ht="12.75">
      <c r="A1849" s="202"/>
    </row>
    <row r="1850" s="198" customFormat="1" ht="12.75">
      <c r="A1850" s="202"/>
    </row>
    <row r="1851" s="198" customFormat="1" ht="12.75">
      <c r="A1851" s="202"/>
    </row>
    <row r="1852" s="198" customFormat="1" ht="12.75">
      <c r="A1852" s="202"/>
    </row>
    <row r="1853" s="198" customFormat="1" ht="12.75">
      <c r="A1853" s="202"/>
    </row>
    <row r="1854" s="198" customFormat="1" ht="12.75">
      <c r="A1854" s="202"/>
    </row>
    <row r="1855" s="198" customFormat="1" ht="12.75">
      <c r="A1855" s="202"/>
    </row>
    <row r="1856" s="198" customFormat="1" ht="12.75">
      <c r="A1856" s="202"/>
    </row>
    <row r="1857" s="198" customFormat="1" ht="12.75">
      <c r="A1857" s="202"/>
    </row>
    <row r="1858" s="198" customFormat="1" ht="12.75">
      <c r="A1858" s="202"/>
    </row>
    <row r="1859" s="198" customFormat="1" ht="12.75">
      <c r="A1859" s="202"/>
    </row>
    <row r="1860" s="198" customFormat="1" ht="12.75">
      <c r="A1860" s="202"/>
    </row>
    <row r="1861" s="198" customFormat="1" ht="12.75">
      <c r="A1861" s="202"/>
    </row>
    <row r="1862" s="198" customFormat="1" ht="12.75">
      <c r="A1862" s="202"/>
    </row>
    <row r="1863" s="198" customFormat="1" ht="12.75">
      <c r="A1863" s="202"/>
    </row>
    <row r="1864" s="198" customFormat="1" ht="12.75">
      <c r="A1864" s="202"/>
    </row>
    <row r="1865" s="198" customFormat="1" ht="12.75">
      <c r="A1865" s="202"/>
    </row>
    <row r="1866" s="198" customFormat="1" ht="12.75">
      <c r="A1866" s="202"/>
    </row>
    <row r="1867" s="198" customFormat="1" ht="12.75">
      <c r="A1867" s="202"/>
    </row>
    <row r="1868" s="198" customFormat="1" ht="12.75">
      <c r="A1868" s="202"/>
    </row>
    <row r="1869" s="198" customFormat="1" ht="12.75">
      <c r="A1869" s="202"/>
    </row>
    <row r="1870" s="198" customFormat="1" ht="12.75">
      <c r="A1870" s="202"/>
    </row>
    <row r="1871" s="198" customFormat="1" ht="12.75">
      <c r="A1871" s="202"/>
    </row>
    <row r="1872" s="198" customFormat="1" ht="12.75">
      <c r="A1872" s="202"/>
    </row>
    <row r="1873" s="198" customFormat="1" ht="12.75">
      <c r="A1873" s="202"/>
    </row>
    <row r="1874" s="198" customFormat="1" ht="12.75">
      <c r="A1874" s="202"/>
    </row>
    <row r="1875" s="198" customFormat="1" ht="12.75">
      <c r="A1875" s="202"/>
    </row>
    <row r="1876" s="198" customFormat="1" ht="12.75">
      <c r="A1876" s="202"/>
    </row>
    <row r="1877" s="198" customFormat="1" ht="12.75">
      <c r="A1877" s="202"/>
    </row>
    <row r="1878" s="198" customFormat="1" ht="12.75">
      <c r="A1878" s="202"/>
    </row>
    <row r="1879" s="198" customFormat="1" ht="12.75">
      <c r="A1879" s="202"/>
    </row>
    <row r="1880" s="198" customFormat="1" ht="12.75">
      <c r="A1880" s="202"/>
    </row>
    <row r="1881" s="198" customFormat="1" ht="12.75">
      <c r="A1881" s="202"/>
    </row>
    <row r="1882" s="198" customFormat="1" ht="12.75">
      <c r="A1882" s="202"/>
    </row>
    <row r="1883" s="198" customFormat="1" ht="12.75">
      <c r="A1883" s="202"/>
    </row>
    <row r="1884" s="198" customFormat="1" ht="12.75">
      <c r="A1884" s="202"/>
    </row>
    <row r="1885" s="198" customFormat="1" ht="12.75">
      <c r="A1885" s="202"/>
    </row>
    <row r="1886" s="198" customFormat="1" ht="12.75">
      <c r="A1886" s="202"/>
    </row>
    <row r="1887" s="198" customFormat="1" ht="12.75">
      <c r="A1887" s="202"/>
    </row>
    <row r="1888" s="198" customFormat="1" ht="12.75">
      <c r="A1888" s="202"/>
    </row>
    <row r="1889" s="198" customFormat="1" ht="12.75">
      <c r="A1889" s="202"/>
    </row>
    <row r="1890" s="198" customFormat="1" ht="12.75">
      <c r="A1890" s="202"/>
    </row>
    <row r="1891" s="198" customFormat="1" ht="12.75">
      <c r="A1891" s="202"/>
    </row>
    <row r="1892" s="198" customFormat="1" ht="12.75">
      <c r="A1892" s="202"/>
    </row>
    <row r="1893" s="198" customFormat="1" ht="12.75">
      <c r="A1893" s="202"/>
    </row>
    <row r="1894" s="198" customFormat="1" ht="12.75">
      <c r="A1894" s="202"/>
    </row>
    <row r="1895" s="198" customFormat="1" ht="12.75">
      <c r="A1895" s="202"/>
    </row>
    <row r="1896" s="198" customFormat="1" ht="12.75">
      <c r="A1896" s="202"/>
    </row>
    <row r="1897" s="198" customFormat="1" ht="12.75">
      <c r="A1897" s="202"/>
    </row>
    <row r="1898" s="198" customFormat="1" ht="12.75">
      <c r="A1898" s="202"/>
    </row>
    <row r="1899" s="198" customFormat="1" ht="12.75">
      <c r="A1899" s="202"/>
    </row>
    <row r="1900" s="198" customFormat="1" ht="12.75">
      <c r="A1900" s="202"/>
    </row>
    <row r="1901" s="198" customFormat="1" ht="12.75">
      <c r="A1901" s="202"/>
    </row>
    <row r="1902" s="198" customFormat="1" ht="12.75">
      <c r="A1902" s="202"/>
    </row>
    <row r="1903" s="198" customFormat="1" ht="12.75">
      <c r="A1903" s="202"/>
    </row>
    <row r="1904" s="198" customFormat="1" ht="12.75">
      <c r="A1904" s="202"/>
    </row>
    <row r="1905" s="198" customFormat="1" ht="12.75">
      <c r="A1905" s="202"/>
    </row>
    <row r="1906" s="198" customFormat="1" ht="12.75">
      <c r="A1906" s="202"/>
    </row>
    <row r="1907" s="198" customFormat="1" ht="12.75">
      <c r="A1907" s="202"/>
    </row>
    <row r="1908" s="198" customFormat="1" ht="12.75">
      <c r="A1908" s="202"/>
    </row>
    <row r="1909" s="198" customFormat="1" ht="12.75">
      <c r="A1909" s="202"/>
    </row>
    <row r="1910" s="198" customFormat="1" ht="12.75">
      <c r="A1910" s="202"/>
    </row>
    <row r="1911" s="198" customFormat="1" ht="12.75">
      <c r="A1911" s="202"/>
    </row>
    <row r="1912" s="198" customFormat="1" ht="12.75">
      <c r="A1912" s="202"/>
    </row>
    <row r="1913" s="198" customFormat="1" ht="12.75">
      <c r="A1913" s="202"/>
    </row>
    <row r="1914" s="198" customFormat="1" ht="12.75">
      <c r="A1914" s="202"/>
    </row>
    <row r="1915" s="198" customFormat="1" ht="12.75">
      <c r="A1915" s="202"/>
    </row>
    <row r="1916" s="198" customFormat="1" ht="12.75">
      <c r="A1916" s="202"/>
    </row>
    <row r="1917" s="198" customFormat="1" ht="12.75">
      <c r="A1917" s="202"/>
    </row>
    <row r="1918" s="198" customFormat="1" ht="12.75">
      <c r="A1918" s="202"/>
    </row>
    <row r="1919" s="198" customFormat="1" ht="12.75">
      <c r="A1919" s="202"/>
    </row>
    <row r="1920" s="198" customFormat="1" ht="12.75">
      <c r="A1920" s="202"/>
    </row>
    <row r="1921" s="198" customFormat="1" ht="12.75">
      <c r="A1921" s="202"/>
    </row>
    <row r="1922" s="198" customFormat="1" ht="12.75">
      <c r="A1922" s="202"/>
    </row>
    <row r="1923" s="198" customFormat="1" ht="12.75">
      <c r="A1923" s="202"/>
    </row>
    <row r="1924" s="198" customFormat="1" ht="12.75">
      <c r="A1924" s="202"/>
    </row>
    <row r="1925" s="198" customFormat="1" ht="12.75">
      <c r="A1925" s="202"/>
    </row>
    <row r="1926" s="198" customFormat="1" ht="12.75">
      <c r="A1926" s="202"/>
    </row>
    <row r="1927" s="198" customFormat="1" ht="12.75">
      <c r="A1927" s="202"/>
    </row>
    <row r="1928" s="198" customFormat="1" ht="12.75">
      <c r="A1928" s="202"/>
    </row>
    <row r="1929" s="198" customFormat="1" ht="12.75">
      <c r="A1929" s="202"/>
    </row>
    <row r="1930" s="198" customFormat="1" ht="12.75">
      <c r="A1930" s="202"/>
    </row>
    <row r="1931" s="198" customFormat="1" ht="12.75">
      <c r="A1931" s="202"/>
    </row>
    <row r="1932" s="198" customFormat="1" ht="12.75">
      <c r="A1932" s="202"/>
    </row>
    <row r="1933" s="198" customFormat="1" ht="12.75">
      <c r="A1933" s="202"/>
    </row>
    <row r="1934" s="198" customFormat="1" ht="12.75">
      <c r="A1934" s="202"/>
    </row>
    <row r="1935" s="198" customFormat="1" ht="12.75">
      <c r="A1935" s="202"/>
    </row>
    <row r="1936" s="198" customFormat="1" ht="12.75">
      <c r="A1936" s="202"/>
    </row>
    <row r="1937" s="198" customFormat="1" ht="12.75">
      <c r="A1937" s="202"/>
    </row>
    <row r="1938" s="198" customFormat="1" ht="12.75">
      <c r="A1938" s="202"/>
    </row>
    <row r="1939" s="198" customFormat="1" ht="12.75">
      <c r="A1939" s="202"/>
    </row>
    <row r="1940" s="198" customFormat="1" ht="12.75">
      <c r="A1940" s="202"/>
    </row>
    <row r="1941" s="198" customFormat="1" ht="12.75">
      <c r="A1941" s="202"/>
    </row>
    <row r="1942" s="198" customFormat="1" ht="12.75">
      <c r="A1942" s="202"/>
    </row>
    <row r="1943" s="198" customFormat="1" ht="12.75">
      <c r="A1943" s="202"/>
    </row>
    <row r="1944" s="198" customFormat="1" ht="12.75">
      <c r="A1944" s="202"/>
    </row>
    <row r="1945" s="198" customFormat="1" ht="12.75">
      <c r="A1945" s="202"/>
    </row>
    <row r="1946" s="198" customFormat="1" ht="12.75">
      <c r="A1946" s="202"/>
    </row>
    <row r="1947" s="198" customFormat="1" ht="12.75">
      <c r="A1947" s="202"/>
    </row>
    <row r="1948" s="198" customFormat="1" ht="12.75">
      <c r="A1948" s="202"/>
    </row>
    <row r="1949" s="198" customFormat="1" ht="12.75">
      <c r="A1949" s="202"/>
    </row>
    <row r="1950" s="198" customFormat="1" ht="12.75">
      <c r="A1950" s="202"/>
    </row>
    <row r="1951" s="198" customFormat="1" ht="12.75">
      <c r="A1951" s="202"/>
    </row>
    <row r="1952" s="198" customFormat="1" ht="12.75">
      <c r="A1952" s="202"/>
    </row>
    <row r="1953" s="198" customFormat="1" ht="12.75">
      <c r="A1953" s="202"/>
    </row>
    <row r="1954" s="198" customFormat="1" ht="12.75">
      <c r="A1954" s="202"/>
    </row>
    <row r="1955" s="198" customFormat="1" ht="12.75">
      <c r="A1955" s="202"/>
    </row>
    <row r="1956" s="198" customFormat="1" ht="12.75">
      <c r="A1956" s="202"/>
    </row>
    <row r="1957" s="198" customFormat="1" ht="12.75">
      <c r="A1957" s="202"/>
    </row>
    <row r="1958" s="198" customFormat="1" ht="12.75">
      <c r="A1958" s="202"/>
    </row>
    <row r="1959" s="198" customFormat="1" ht="12.75">
      <c r="A1959" s="202"/>
    </row>
    <row r="1960" s="198" customFormat="1" ht="12.75">
      <c r="A1960" s="202"/>
    </row>
    <row r="1961" s="198" customFormat="1" ht="12.75">
      <c r="A1961" s="202"/>
    </row>
    <row r="1962" s="198" customFormat="1" ht="12.75">
      <c r="A1962" s="202"/>
    </row>
    <row r="1963" s="198" customFormat="1" ht="12.75">
      <c r="A1963" s="202"/>
    </row>
    <row r="1964" s="198" customFormat="1" ht="12.75">
      <c r="A1964" s="202"/>
    </row>
    <row r="1965" s="198" customFormat="1" ht="12.75">
      <c r="A1965" s="202"/>
    </row>
    <row r="1966" s="198" customFormat="1" ht="12.75">
      <c r="A1966" s="202"/>
    </row>
    <row r="1967" s="198" customFormat="1" ht="12.75">
      <c r="A1967" s="202"/>
    </row>
    <row r="1968" s="198" customFormat="1" ht="12.75">
      <c r="A1968" s="202"/>
    </row>
    <row r="1969" s="198" customFormat="1" ht="12.75">
      <c r="A1969" s="202"/>
    </row>
    <row r="1970" s="198" customFormat="1" ht="12.75">
      <c r="A1970" s="202"/>
    </row>
    <row r="1971" s="198" customFormat="1" ht="12.75">
      <c r="A1971" s="202"/>
    </row>
    <row r="1972" s="198" customFormat="1" ht="12.75">
      <c r="A1972" s="202"/>
    </row>
    <row r="1973" s="198" customFormat="1" ht="12.75">
      <c r="A1973" s="202"/>
    </row>
    <row r="1974" s="198" customFormat="1" ht="12.75">
      <c r="A1974" s="202"/>
    </row>
    <row r="1975" s="198" customFormat="1" ht="12.75">
      <c r="A1975" s="202"/>
    </row>
    <row r="1976" s="198" customFormat="1" ht="12.75">
      <c r="A1976" s="202"/>
    </row>
    <row r="1977" s="198" customFormat="1" ht="12.75">
      <c r="A1977" s="202"/>
    </row>
    <row r="1978" s="198" customFormat="1" ht="12.75">
      <c r="A1978" s="202"/>
    </row>
    <row r="1979" s="198" customFormat="1" ht="12.75">
      <c r="A1979" s="202"/>
    </row>
    <row r="1980" s="198" customFormat="1" ht="12.75">
      <c r="A1980" s="202"/>
    </row>
    <row r="1981" s="198" customFormat="1" ht="12.75">
      <c r="A1981" s="202"/>
    </row>
    <row r="1982" s="198" customFormat="1" ht="12.75">
      <c r="A1982" s="202"/>
    </row>
    <row r="1983" s="198" customFormat="1" ht="12.75">
      <c r="A1983" s="202"/>
    </row>
    <row r="1984" s="198" customFormat="1" ht="12.75">
      <c r="A1984" s="202"/>
    </row>
    <row r="1985" s="198" customFormat="1" ht="12.75">
      <c r="A1985" s="202"/>
    </row>
    <row r="1986" s="198" customFormat="1" ht="12.75">
      <c r="A1986" s="202"/>
    </row>
    <row r="1987" s="198" customFormat="1" ht="12.75">
      <c r="A1987" s="202"/>
    </row>
    <row r="1988" s="198" customFormat="1" ht="12.75">
      <c r="A1988" s="202"/>
    </row>
    <row r="1989" s="198" customFormat="1" ht="12.75">
      <c r="A1989" s="202"/>
    </row>
    <row r="1990" s="198" customFormat="1" ht="12.75">
      <c r="A1990" s="202"/>
    </row>
    <row r="1991" s="198" customFormat="1" ht="12.75">
      <c r="A1991" s="202"/>
    </row>
    <row r="1992" s="198" customFormat="1" ht="12.75">
      <c r="A1992" s="202"/>
    </row>
    <row r="1993" s="198" customFormat="1" ht="12.75">
      <c r="A1993" s="202"/>
    </row>
    <row r="1994" s="198" customFormat="1" ht="12.75">
      <c r="A1994" s="202"/>
    </row>
    <row r="1995" s="198" customFormat="1" ht="12.75">
      <c r="A1995" s="202"/>
    </row>
    <row r="1996" s="198" customFormat="1" ht="12.75">
      <c r="A1996" s="202"/>
    </row>
    <row r="1997" s="198" customFormat="1" ht="12.75">
      <c r="A1997" s="202"/>
    </row>
    <row r="1998" s="198" customFormat="1" ht="12.75">
      <c r="A1998" s="202"/>
    </row>
    <row r="1999" s="198" customFormat="1" ht="12.75">
      <c r="A1999" s="202"/>
    </row>
    <row r="2000" s="198" customFormat="1" ht="12.75">
      <c r="A2000" s="202"/>
    </row>
    <row r="2001" s="198" customFormat="1" ht="12.75">
      <c r="A2001" s="202"/>
    </row>
    <row r="2002" s="198" customFormat="1" ht="12.75">
      <c r="A2002" s="202"/>
    </row>
    <row r="2003" s="198" customFormat="1" ht="12.75">
      <c r="A2003" s="202"/>
    </row>
    <row r="2004" s="198" customFormat="1" ht="12.75">
      <c r="A2004" s="202"/>
    </row>
    <row r="2005" s="198" customFormat="1" ht="12.75">
      <c r="A2005" s="202"/>
    </row>
    <row r="2006" s="198" customFormat="1" ht="12.75">
      <c r="A2006" s="202"/>
    </row>
    <row r="2007" s="198" customFormat="1" ht="12.75">
      <c r="A2007" s="202"/>
    </row>
    <row r="2008" s="198" customFormat="1" ht="12.75">
      <c r="A2008" s="202"/>
    </row>
    <row r="2009" s="198" customFormat="1" ht="12.75">
      <c r="A2009" s="202"/>
    </row>
    <row r="2010" s="198" customFormat="1" ht="12.75">
      <c r="A2010" s="202"/>
    </row>
    <row r="2011" s="198" customFormat="1" ht="12.75">
      <c r="A2011" s="202"/>
    </row>
    <row r="2012" s="198" customFormat="1" ht="12.75">
      <c r="A2012" s="202"/>
    </row>
    <row r="2013" s="198" customFormat="1" ht="12.75">
      <c r="A2013" s="202"/>
    </row>
    <row r="2014" s="198" customFormat="1" ht="12.75">
      <c r="A2014" s="202"/>
    </row>
    <row r="2015" s="198" customFormat="1" ht="12.75">
      <c r="A2015" s="202"/>
    </row>
    <row r="2016" s="198" customFormat="1" ht="12.75">
      <c r="A2016" s="202"/>
    </row>
    <row r="2017" s="198" customFormat="1" ht="12.75">
      <c r="A2017" s="202"/>
    </row>
    <row r="2018" s="198" customFormat="1" ht="12.75">
      <c r="A2018" s="202"/>
    </row>
    <row r="2019" s="198" customFormat="1" ht="12.75">
      <c r="A2019" s="202"/>
    </row>
    <row r="2020" s="198" customFormat="1" ht="12.75">
      <c r="A2020" s="202"/>
    </row>
    <row r="2021" s="198" customFormat="1" ht="12.75">
      <c r="A2021" s="202"/>
    </row>
    <row r="2022" s="198" customFormat="1" ht="12.75">
      <c r="A2022" s="202"/>
    </row>
    <row r="2023" s="198" customFormat="1" ht="12.75">
      <c r="A2023" s="202"/>
    </row>
    <row r="2024" s="198" customFormat="1" ht="12.75">
      <c r="A2024" s="202"/>
    </row>
    <row r="2025" s="198" customFormat="1" ht="12.75">
      <c r="A2025" s="202"/>
    </row>
    <row r="2026" s="198" customFormat="1" ht="12.75">
      <c r="A2026" s="202"/>
    </row>
    <row r="2027" s="198" customFormat="1" ht="12.75">
      <c r="A2027" s="202"/>
    </row>
    <row r="2028" s="198" customFormat="1" ht="12.75">
      <c r="A2028" s="202"/>
    </row>
    <row r="2029" s="198" customFormat="1" ht="12.75">
      <c r="A2029" s="202"/>
    </row>
    <row r="2030" s="198" customFormat="1" ht="12.75">
      <c r="A2030" s="202"/>
    </row>
    <row r="2031" s="198" customFormat="1" ht="12.75">
      <c r="A2031" s="202"/>
    </row>
    <row r="2032" s="198" customFormat="1" ht="12.75">
      <c r="A2032" s="202"/>
    </row>
    <row r="2033" s="198" customFormat="1" ht="12.75">
      <c r="A2033" s="202"/>
    </row>
    <row r="2034" s="198" customFormat="1" ht="12.75">
      <c r="A2034" s="202"/>
    </row>
    <row r="2035" s="198" customFormat="1" ht="12.75">
      <c r="A2035" s="202"/>
    </row>
    <row r="2036" s="198" customFormat="1" ht="12.75">
      <c r="A2036" s="202"/>
    </row>
    <row r="2037" s="198" customFormat="1" ht="12.75">
      <c r="A2037" s="202"/>
    </row>
    <row r="2038" s="198" customFormat="1" ht="12.75">
      <c r="A2038" s="202"/>
    </row>
    <row r="2039" s="198" customFormat="1" ht="12.75">
      <c r="A2039" s="202"/>
    </row>
    <row r="2040" s="198" customFormat="1" ht="12.75">
      <c r="A2040" s="202"/>
    </row>
    <row r="2041" s="198" customFormat="1" ht="12.75">
      <c r="A2041" s="202"/>
    </row>
    <row r="2042" s="198" customFormat="1" ht="12.75">
      <c r="A2042" s="202"/>
    </row>
    <row r="2043" s="198" customFormat="1" ht="12.75">
      <c r="A2043" s="202"/>
    </row>
    <row r="2044" ht="12.75">
      <c r="A2044" s="203"/>
    </row>
    <row r="2045" ht="12.75">
      <c r="A2045" s="203"/>
    </row>
    <row r="2046" ht="12.75">
      <c r="A2046" s="203"/>
    </row>
    <row r="2047" ht="12.75">
      <c r="A2047" s="203"/>
    </row>
    <row r="2048" ht="12.75">
      <c r="A2048" s="203"/>
    </row>
    <row r="2049" ht="12.75">
      <c r="A2049" s="203"/>
    </row>
    <row r="2050" ht="12.75">
      <c r="A2050" s="203"/>
    </row>
    <row r="2051" ht="12.75">
      <c r="A2051" s="203"/>
    </row>
    <row r="2052" ht="12.75">
      <c r="A2052" s="203"/>
    </row>
    <row r="2053" ht="12.75">
      <c r="A2053" s="203"/>
    </row>
    <row r="2054" ht="12.75">
      <c r="A2054" s="203"/>
    </row>
    <row r="2055" ht="12.75">
      <c r="A2055" s="203"/>
    </row>
    <row r="2056" ht="12.75">
      <c r="A2056" s="203"/>
    </row>
    <row r="2057" ht="12.75">
      <c r="A2057" s="203"/>
    </row>
    <row r="2058" ht="12.75">
      <c r="A2058" s="203"/>
    </row>
    <row r="2059" ht="12.75">
      <c r="A2059" s="203"/>
    </row>
    <row r="2060" ht="12.75">
      <c r="A2060" s="203"/>
    </row>
    <row r="2061" ht="12.75">
      <c r="A2061" s="203"/>
    </row>
    <row r="2062" ht="12.75">
      <c r="A2062" s="203"/>
    </row>
    <row r="2063" ht="12.75">
      <c r="A2063" s="203"/>
    </row>
    <row r="2064" ht="12.75">
      <c r="A2064" s="203"/>
    </row>
    <row r="2065" ht="12.75">
      <c r="A2065" s="203"/>
    </row>
    <row r="2066" ht="12.75">
      <c r="A2066" s="203"/>
    </row>
    <row r="2067" ht="12.75">
      <c r="A2067" s="203"/>
    </row>
    <row r="2068" ht="12.75">
      <c r="A2068" s="203"/>
    </row>
    <row r="2069" ht="12.75">
      <c r="A2069" s="203"/>
    </row>
    <row r="2070" ht="12.75">
      <c r="A2070" s="203"/>
    </row>
    <row r="2071" ht="12.75">
      <c r="A2071" s="203"/>
    </row>
    <row r="2072" ht="12.75">
      <c r="A2072" s="203"/>
    </row>
    <row r="2073" ht="12.75">
      <c r="A2073" s="203"/>
    </row>
    <row r="2074" ht="12.75">
      <c r="A2074" s="203"/>
    </row>
    <row r="2075" ht="12.75">
      <c r="A2075" s="203"/>
    </row>
    <row r="2076" ht="12.75">
      <c r="A2076" s="203"/>
    </row>
    <row r="2077" ht="12.75">
      <c r="A2077" s="203"/>
    </row>
    <row r="2078" ht="12.75">
      <c r="A2078" s="203"/>
    </row>
    <row r="2079" ht="12.75">
      <c r="A2079" s="203"/>
    </row>
    <row r="2080" ht="12.75">
      <c r="A2080" s="203"/>
    </row>
    <row r="2081" ht="12.75">
      <c r="A2081" s="203"/>
    </row>
    <row r="2082" ht="12.75">
      <c r="A2082" s="203"/>
    </row>
    <row r="2083" ht="12.75">
      <c r="A2083" s="203"/>
    </row>
    <row r="2084" ht="12.75">
      <c r="A2084" s="203"/>
    </row>
    <row r="2085" ht="12.75">
      <c r="A2085" s="203"/>
    </row>
    <row r="2086" ht="12.75">
      <c r="A2086" s="203"/>
    </row>
    <row r="2087" ht="12.75">
      <c r="A2087" s="203"/>
    </row>
    <row r="2088" ht="12.75">
      <c r="A2088" s="203"/>
    </row>
    <row r="2089" ht="12.75">
      <c r="A2089" s="203"/>
    </row>
    <row r="2090" ht="12.75">
      <c r="A2090" s="203"/>
    </row>
    <row r="2091" ht="12.75">
      <c r="A2091" s="203"/>
    </row>
    <row r="2092" ht="12.75">
      <c r="A2092" s="203"/>
    </row>
    <row r="2093" ht="12.75">
      <c r="A2093" s="203"/>
    </row>
    <row r="2094" ht="12.75">
      <c r="A2094" s="203"/>
    </row>
    <row r="2095" ht="12.75">
      <c r="A2095" s="203"/>
    </row>
    <row r="2096" ht="12.75">
      <c r="A2096" s="203"/>
    </row>
    <row r="2097" ht="12.75">
      <c r="A2097" s="203"/>
    </row>
    <row r="2098" ht="12.75">
      <c r="A2098" s="203"/>
    </row>
    <row r="2099" ht="12.75">
      <c r="A2099" s="203"/>
    </row>
    <row r="2100" ht="12.75">
      <c r="A2100" s="203"/>
    </row>
    <row r="2101" ht="12.75">
      <c r="A2101" s="203"/>
    </row>
    <row r="2102" ht="12.75">
      <c r="A2102" s="203"/>
    </row>
    <row r="2103" ht="12.75">
      <c r="A2103" s="203"/>
    </row>
    <row r="2104" ht="12.75">
      <c r="A2104" s="203"/>
    </row>
    <row r="2105" ht="12.75">
      <c r="A2105" s="203"/>
    </row>
    <row r="2106" ht="12.75">
      <c r="A2106" s="203"/>
    </row>
    <row r="2107" ht="12.75">
      <c r="A2107" s="203"/>
    </row>
    <row r="2108" ht="12.75">
      <c r="A2108" s="203"/>
    </row>
    <row r="2109" ht="12.75">
      <c r="A2109" s="203"/>
    </row>
    <row r="2110" ht="12.75">
      <c r="A2110" s="203"/>
    </row>
    <row r="2111" ht="12.75">
      <c r="A2111" s="203"/>
    </row>
    <row r="2112" ht="12.75">
      <c r="A2112" s="203"/>
    </row>
    <row r="2113" ht="12.75">
      <c r="A2113" s="203"/>
    </row>
    <row r="2114" ht="12.75">
      <c r="A2114" s="203"/>
    </row>
    <row r="2115" ht="12.75">
      <c r="A2115" s="203"/>
    </row>
    <row r="2116" ht="12.75">
      <c r="A2116" s="203"/>
    </row>
    <row r="2117" ht="12.75">
      <c r="A2117" s="203"/>
    </row>
    <row r="2118" ht="12.75">
      <c r="A2118" s="203"/>
    </row>
    <row r="2119" ht="12.75">
      <c r="A2119" s="203"/>
    </row>
    <row r="2120" ht="12.75">
      <c r="A2120" s="203"/>
    </row>
    <row r="2121" ht="12.75">
      <c r="A2121" s="203"/>
    </row>
    <row r="2122" ht="12.75">
      <c r="A2122" s="203"/>
    </row>
    <row r="2123" ht="12.75">
      <c r="A2123" s="203"/>
    </row>
    <row r="2124" ht="12.75">
      <c r="A2124" s="203"/>
    </row>
    <row r="2125" ht="12.75">
      <c r="A2125" s="203"/>
    </row>
    <row r="2126" ht="12.75">
      <c r="A2126" s="203"/>
    </row>
    <row r="2127" ht="12.75">
      <c r="A2127" s="203"/>
    </row>
    <row r="2128" ht="12.75">
      <c r="A2128" s="203"/>
    </row>
    <row r="2129" ht="12.75">
      <c r="A2129" s="203"/>
    </row>
    <row r="2130" ht="12.75">
      <c r="A2130" s="203"/>
    </row>
    <row r="2131" ht="12.75">
      <c r="A2131" s="203"/>
    </row>
    <row r="2132" ht="12.75">
      <c r="A2132" s="203"/>
    </row>
    <row r="2133" ht="12.75">
      <c r="A2133" s="203"/>
    </row>
    <row r="2134" ht="12.75">
      <c r="A2134" s="203"/>
    </row>
    <row r="2135" ht="12.75">
      <c r="A2135" s="203"/>
    </row>
    <row r="2136" ht="12.75">
      <c r="A2136" s="203"/>
    </row>
    <row r="2137" ht="12.75">
      <c r="A2137" s="203"/>
    </row>
    <row r="2138" ht="12.75">
      <c r="A2138" s="203"/>
    </row>
    <row r="2139" ht="12.75">
      <c r="A2139" s="203"/>
    </row>
    <row r="2140" ht="12.75">
      <c r="A2140" s="203"/>
    </row>
    <row r="2141" ht="12.75">
      <c r="A2141" s="203"/>
    </row>
    <row r="2142" ht="12.75">
      <c r="A2142" s="203"/>
    </row>
    <row r="2143" ht="12.75">
      <c r="A2143" s="203"/>
    </row>
    <row r="2144" ht="12.75">
      <c r="A2144" s="203"/>
    </row>
    <row r="2145" ht="12.75">
      <c r="A2145" s="203"/>
    </row>
    <row r="2146" ht="12.75">
      <c r="A2146" s="203"/>
    </row>
    <row r="2147" ht="12.75">
      <c r="A2147" s="203"/>
    </row>
    <row r="2148" ht="12.75">
      <c r="A2148" s="203"/>
    </row>
    <row r="2149" ht="12.75">
      <c r="A2149" s="203"/>
    </row>
    <row r="2150" ht="12.75">
      <c r="A2150" s="203"/>
    </row>
    <row r="2151" ht="12.75">
      <c r="A2151" s="203"/>
    </row>
    <row r="2152" ht="12.75">
      <c r="A2152" s="203"/>
    </row>
    <row r="2153" ht="12.75">
      <c r="A2153" s="203"/>
    </row>
    <row r="2154" ht="12.75">
      <c r="A2154" s="203"/>
    </row>
    <row r="2155" ht="12.75">
      <c r="A2155" s="203"/>
    </row>
    <row r="2156" ht="12.75">
      <c r="A2156" s="203"/>
    </row>
    <row r="2157" ht="12.75">
      <c r="A2157" s="203"/>
    </row>
    <row r="2158" ht="12.75">
      <c r="A2158" s="203"/>
    </row>
    <row r="2159" ht="12.75">
      <c r="A2159" s="203"/>
    </row>
    <row r="2160" ht="12.75">
      <c r="A2160" s="203"/>
    </row>
    <row r="2161" ht="12.75">
      <c r="A2161" s="203"/>
    </row>
    <row r="2162" ht="12.75">
      <c r="A2162" s="203"/>
    </row>
    <row r="2163" ht="12.75">
      <c r="A2163" s="203"/>
    </row>
    <row r="2164" ht="12.75">
      <c r="A2164" s="203"/>
    </row>
    <row r="2165" ht="12.75">
      <c r="A2165" s="203"/>
    </row>
    <row r="2166" ht="12.75">
      <c r="A2166" s="203"/>
    </row>
    <row r="2167" ht="12.75">
      <c r="A2167" s="203"/>
    </row>
    <row r="2168" ht="12.75">
      <c r="A2168" s="203"/>
    </row>
    <row r="2169" ht="12.75">
      <c r="A2169" s="203"/>
    </row>
    <row r="2170" ht="12.75">
      <c r="A2170" s="203"/>
    </row>
    <row r="2171" ht="12.75">
      <c r="A2171" s="203"/>
    </row>
    <row r="2172" ht="12.75">
      <c r="A2172" s="203"/>
    </row>
    <row r="2173" ht="12.75">
      <c r="A2173" s="203"/>
    </row>
    <row r="2174" ht="12.75">
      <c r="A2174" s="203"/>
    </row>
    <row r="2175" ht="12.75">
      <c r="A2175" s="203"/>
    </row>
    <row r="2176" ht="12.75">
      <c r="A2176" s="203"/>
    </row>
    <row r="2177" ht="12.75">
      <c r="A2177" s="203"/>
    </row>
    <row r="2178" ht="12.75">
      <c r="A2178" s="203"/>
    </row>
    <row r="2179" ht="12.75">
      <c r="A2179" s="203"/>
    </row>
    <row r="2180" ht="12.75">
      <c r="A2180" s="203"/>
    </row>
    <row r="2181" ht="12.75">
      <c r="A2181" s="203"/>
    </row>
    <row r="2182" ht="12.75">
      <c r="A2182" s="203"/>
    </row>
    <row r="2183" ht="12.75">
      <c r="A2183" s="203"/>
    </row>
    <row r="2184" ht="12.75">
      <c r="A2184" s="203"/>
    </row>
    <row r="2185" ht="12.75">
      <c r="A2185" s="203"/>
    </row>
    <row r="2186" ht="12.75">
      <c r="A2186" s="203"/>
    </row>
    <row r="2187" ht="12.75">
      <c r="A2187" s="203"/>
    </row>
    <row r="2188" ht="12.75">
      <c r="A2188" s="203"/>
    </row>
    <row r="2189" ht="12.75">
      <c r="A2189" s="203"/>
    </row>
    <row r="2190" ht="12.75">
      <c r="A2190" s="203"/>
    </row>
    <row r="2191" ht="12.75">
      <c r="A2191" s="203"/>
    </row>
    <row r="2192" ht="12.75">
      <c r="A2192" s="203"/>
    </row>
    <row r="2193" ht="12.75">
      <c r="A2193" s="203"/>
    </row>
    <row r="2194" ht="12.75">
      <c r="A2194" s="203"/>
    </row>
    <row r="2195" ht="12.75">
      <c r="A2195" s="203"/>
    </row>
    <row r="2196" ht="12.75">
      <c r="A2196" s="203"/>
    </row>
    <row r="2197" ht="12.75">
      <c r="A2197" s="203"/>
    </row>
    <row r="2198" ht="12.75">
      <c r="A2198" s="203"/>
    </row>
    <row r="2199" ht="12.75">
      <c r="A2199" s="203"/>
    </row>
    <row r="2200" ht="12.75">
      <c r="A2200" s="203"/>
    </row>
    <row r="2201" ht="12.75">
      <c r="A2201" s="203"/>
    </row>
    <row r="2202" ht="12.75">
      <c r="A2202" s="203"/>
    </row>
    <row r="2203" ht="12.75">
      <c r="A2203" s="203"/>
    </row>
    <row r="2204" ht="12.75">
      <c r="A2204" s="203"/>
    </row>
    <row r="2205" ht="12.75">
      <c r="A2205" s="203"/>
    </row>
    <row r="2206" ht="12.75">
      <c r="A2206" s="203"/>
    </row>
    <row r="2207" ht="12.75">
      <c r="A2207" s="203"/>
    </row>
    <row r="2208" ht="12.75">
      <c r="A2208" s="203"/>
    </row>
    <row r="2209" ht="12.75">
      <c r="A2209" s="203"/>
    </row>
    <row r="2210" ht="12.75">
      <c r="A2210" s="203"/>
    </row>
    <row r="2211" ht="12.75">
      <c r="A2211" s="203"/>
    </row>
    <row r="2212" ht="12.75">
      <c r="A2212" s="203"/>
    </row>
    <row r="2213" ht="12.75">
      <c r="A2213" s="203"/>
    </row>
    <row r="2214" ht="12.75">
      <c r="A2214" s="203"/>
    </row>
    <row r="2215" ht="12.75">
      <c r="A2215" s="203"/>
    </row>
    <row r="2216" ht="12.75">
      <c r="A2216" s="203"/>
    </row>
    <row r="2217" ht="12.75">
      <c r="A2217" s="203"/>
    </row>
    <row r="2218" ht="12.75">
      <c r="A2218" s="203"/>
    </row>
    <row r="2219" ht="12.75">
      <c r="A2219" s="203"/>
    </row>
    <row r="2220" ht="12.75">
      <c r="A2220" s="203"/>
    </row>
    <row r="2221" ht="12.75">
      <c r="A2221" s="203"/>
    </row>
    <row r="2222" ht="12.75">
      <c r="A2222" s="203"/>
    </row>
    <row r="2223" ht="12.75">
      <c r="A2223" s="203"/>
    </row>
    <row r="2224" ht="12.75">
      <c r="A2224" s="203"/>
    </row>
    <row r="2225" ht="12.75">
      <c r="A2225" s="203"/>
    </row>
    <row r="2226" ht="12.75">
      <c r="A2226" s="203"/>
    </row>
    <row r="2227" ht="12.75">
      <c r="A2227" s="203"/>
    </row>
    <row r="2228" ht="12.75">
      <c r="A2228" s="203"/>
    </row>
    <row r="2229" ht="12.75">
      <c r="A2229" s="203"/>
    </row>
    <row r="2230" ht="12.75">
      <c r="A2230" s="203"/>
    </row>
    <row r="2231" ht="12.75">
      <c r="A2231" s="203"/>
    </row>
    <row r="2232" ht="12.75">
      <c r="A2232" s="203"/>
    </row>
    <row r="2233" ht="12.75">
      <c r="A2233" s="203"/>
    </row>
    <row r="2234" ht="12.75">
      <c r="A2234" s="203"/>
    </row>
    <row r="2235" ht="12.75">
      <c r="A2235" s="203"/>
    </row>
    <row r="2236" ht="12.75">
      <c r="A2236" s="203"/>
    </row>
    <row r="2237" ht="12.75">
      <c r="A2237" s="203"/>
    </row>
    <row r="2238" ht="12.75">
      <c r="A2238" s="203"/>
    </row>
    <row r="2239" ht="12.75">
      <c r="A2239" s="203"/>
    </row>
    <row r="2240" ht="12.75">
      <c r="A2240" s="203"/>
    </row>
    <row r="2241" ht="12.75">
      <c r="A2241" s="203"/>
    </row>
    <row r="2242" ht="12.75">
      <c r="A2242" s="203"/>
    </row>
    <row r="2243" ht="12.75">
      <c r="A2243" s="203"/>
    </row>
    <row r="2244" ht="12.75">
      <c r="A2244" s="203"/>
    </row>
    <row r="2245" ht="12.75">
      <c r="A2245" s="203"/>
    </row>
    <row r="2246" ht="12.75">
      <c r="A2246" s="203"/>
    </row>
    <row r="2247" ht="12.75">
      <c r="A2247" s="203"/>
    </row>
    <row r="2248" ht="12.75">
      <c r="A2248" s="203"/>
    </row>
    <row r="2249" ht="12.75">
      <c r="A2249" s="203"/>
    </row>
    <row r="2250" ht="12.75">
      <c r="A2250" s="203"/>
    </row>
    <row r="2251" ht="12.75">
      <c r="A2251" s="203"/>
    </row>
    <row r="2252" ht="12.75">
      <c r="A2252" s="203"/>
    </row>
    <row r="2253" ht="12.75">
      <c r="A2253" s="203"/>
    </row>
    <row r="2254" ht="12.75">
      <c r="A2254" s="203"/>
    </row>
    <row r="2255" ht="12.75">
      <c r="A2255" s="203"/>
    </row>
    <row r="2256" ht="12.75">
      <c r="A2256" s="203"/>
    </row>
    <row r="2257" ht="12.75">
      <c r="A2257" s="203"/>
    </row>
    <row r="2258" ht="12.75">
      <c r="A2258" s="203"/>
    </row>
    <row r="2259" ht="12.75">
      <c r="A2259" s="203"/>
    </row>
    <row r="2260" ht="12.75">
      <c r="A2260" s="203"/>
    </row>
    <row r="2261" ht="12.75">
      <c r="A2261" s="203"/>
    </row>
    <row r="2262" ht="12.75">
      <c r="A2262" s="203"/>
    </row>
    <row r="2263" ht="12.75">
      <c r="A2263" s="203"/>
    </row>
    <row r="2264" ht="12.75">
      <c r="A2264" s="203"/>
    </row>
    <row r="2265" ht="12.75">
      <c r="A2265" s="203"/>
    </row>
    <row r="2266" ht="12.75">
      <c r="A2266" s="203"/>
    </row>
    <row r="2267" ht="12.75">
      <c r="A2267" s="203"/>
    </row>
    <row r="2268" ht="12.75">
      <c r="A2268" s="203"/>
    </row>
    <row r="2269" ht="12.75">
      <c r="A2269" s="203"/>
    </row>
    <row r="2270" ht="12.75">
      <c r="A2270" s="203"/>
    </row>
    <row r="2271" ht="12.75">
      <c r="A2271" s="203"/>
    </row>
    <row r="2272" ht="12.75">
      <c r="A2272" s="203"/>
    </row>
    <row r="2273" ht="12.75">
      <c r="A2273" s="203"/>
    </row>
    <row r="2274" ht="12.75">
      <c r="A2274" s="203"/>
    </row>
    <row r="2275" ht="12.75">
      <c r="A2275" s="203"/>
    </row>
    <row r="2276" ht="12.75">
      <c r="A2276" s="203"/>
    </row>
    <row r="2277" ht="12.75">
      <c r="A2277" s="203"/>
    </row>
    <row r="2278" ht="12.75">
      <c r="A2278" s="203"/>
    </row>
    <row r="2279" ht="12.75">
      <c r="A2279" s="203"/>
    </row>
    <row r="2280" ht="12.75">
      <c r="A2280" s="203"/>
    </row>
    <row r="2281" ht="12.75">
      <c r="A2281" s="203"/>
    </row>
    <row r="2282" ht="12.75">
      <c r="A2282" s="203"/>
    </row>
    <row r="2283" ht="12.75">
      <c r="A2283" s="203"/>
    </row>
    <row r="2284" ht="12.75">
      <c r="A2284" s="203"/>
    </row>
    <row r="2285" ht="12.75">
      <c r="A2285" s="203"/>
    </row>
    <row r="2286" ht="12.75">
      <c r="A2286" s="203"/>
    </row>
    <row r="2287" ht="12.75">
      <c r="A2287" s="203"/>
    </row>
    <row r="2288" ht="12.75">
      <c r="A2288" s="203"/>
    </row>
    <row r="2289" ht="12.75">
      <c r="A2289" s="203"/>
    </row>
    <row r="2290" ht="12.75">
      <c r="A2290" s="203"/>
    </row>
    <row r="2291" ht="12.75">
      <c r="A2291" s="203"/>
    </row>
    <row r="2292" ht="12.75">
      <c r="A2292" s="203"/>
    </row>
    <row r="2293" ht="12.75">
      <c r="A2293" s="203"/>
    </row>
    <row r="2294" ht="12.75">
      <c r="A2294" s="203"/>
    </row>
    <row r="2295" ht="12.75">
      <c r="A2295" s="203"/>
    </row>
    <row r="2296" ht="12.75">
      <c r="A2296" s="203"/>
    </row>
    <row r="2297" ht="12.75">
      <c r="A2297" s="203"/>
    </row>
    <row r="2298" ht="12.75">
      <c r="A2298" s="203"/>
    </row>
    <row r="2299" ht="12.75">
      <c r="A2299" s="203"/>
    </row>
    <row r="2300" ht="12.75">
      <c r="A2300" s="203"/>
    </row>
    <row r="2301" ht="12.75">
      <c r="A2301" s="203"/>
    </row>
    <row r="2302" ht="12.75">
      <c r="A2302" s="203"/>
    </row>
    <row r="2303" ht="12.75">
      <c r="A2303" s="203"/>
    </row>
    <row r="2304" ht="12.75">
      <c r="A2304" s="203"/>
    </row>
    <row r="2305" ht="12.75">
      <c r="A2305" s="203"/>
    </row>
    <row r="2306" ht="12.75">
      <c r="A2306" s="203"/>
    </row>
    <row r="2307" ht="12.75">
      <c r="A2307" s="203"/>
    </row>
    <row r="2308" ht="12.75">
      <c r="A2308" s="203"/>
    </row>
    <row r="2309" ht="12.75">
      <c r="A2309" s="203"/>
    </row>
    <row r="2310" ht="12.75">
      <c r="A2310" s="203"/>
    </row>
    <row r="2311" ht="12.75">
      <c r="A2311" s="203"/>
    </row>
    <row r="2312" ht="12.75">
      <c r="A2312" s="203"/>
    </row>
    <row r="2313" ht="12.75">
      <c r="A2313" s="203"/>
    </row>
    <row r="2314" ht="12.75">
      <c r="A2314" s="203"/>
    </row>
    <row r="2315" ht="12.75">
      <c r="A2315" s="203"/>
    </row>
    <row r="2316" ht="12.75">
      <c r="A2316" s="203"/>
    </row>
    <row r="2317" ht="12.75">
      <c r="A2317" s="203"/>
    </row>
    <row r="2318" ht="12.75">
      <c r="A2318" s="203"/>
    </row>
    <row r="2319" ht="12.75">
      <c r="A2319" s="203"/>
    </row>
    <row r="2320" ht="12.75">
      <c r="A2320" s="203"/>
    </row>
    <row r="2321" ht="12.75">
      <c r="A2321" s="203"/>
    </row>
    <row r="2322" ht="12.75">
      <c r="A2322" s="203"/>
    </row>
    <row r="2323" ht="12.75">
      <c r="A2323" s="203"/>
    </row>
    <row r="2324" ht="12.75">
      <c r="A2324" s="203"/>
    </row>
    <row r="2325" ht="12.75">
      <c r="A2325" s="203"/>
    </row>
    <row r="2326" ht="12.75">
      <c r="A2326" s="203"/>
    </row>
    <row r="2327" ht="12.75">
      <c r="A2327" s="203"/>
    </row>
    <row r="2328" ht="12.75">
      <c r="A2328" s="203"/>
    </row>
    <row r="2329" ht="12.75">
      <c r="A2329" s="203"/>
    </row>
    <row r="2330" ht="12.75">
      <c r="A2330" s="203"/>
    </row>
    <row r="2331" ht="12.75">
      <c r="A2331" s="203"/>
    </row>
    <row r="2332" ht="12.75">
      <c r="A2332" s="203"/>
    </row>
    <row r="2333" ht="12.75">
      <c r="A2333" s="203"/>
    </row>
    <row r="2334" ht="12.75">
      <c r="A2334" s="203"/>
    </row>
    <row r="2335" ht="12.75">
      <c r="A2335" s="203"/>
    </row>
    <row r="2336" ht="12.75">
      <c r="A2336" s="203"/>
    </row>
    <row r="2337" ht="12.75">
      <c r="A2337" s="203"/>
    </row>
    <row r="2338" ht="12.75">
      <c r="A2338" s="203"/>
    </row>
    <row r="2339" ht="12.75">
      <c r="A2339" s="203"/>
    </row>
    <row r="2340" ht="12.75">
      <c r="A2340" s="203"/>
    </row>
    <row r="2341" ht="12.75">
      <c r="A2341" s="203"/>
    </row>
    <row r="2342" ht="12.75">
      <c r="A2342" s="203"/>
    </row>
    <row r="2343" ht="12.75">
      <c r="A2343" s="203"/>
    </row>
    <row r="2344" ht="12.75">
      <c r="A2344" s="203"/>
    </row>
    <row r="2345" ht="12.75">
      <c r="A2345" s="203"/>
    </row>
    <row r="2346" ht="12.75">
      <c r="A2346" s="203"/>
    </row>
    <row r="2347" ht="12.75">
      <c r="A2347" s="203"/>
    </row>
    <row r="2348" ht="12.75">
      <c r="A2348" s="203"/>
    </row>
    <row r="2349" ht="12.75">
      <c r="A2349" s="203"/>
    </row>
    <row r="2350" ht="12.75">
      <c r="A2350" s="203"/>
    </row>
    <row r="2351" ht="12.75">
      <c r="A2351" s="203"/>
    </row>
    <row r="2352" ht="12.75">
      <c r="A2352" s="203"/>
    </row>
    <row r="2353" ht="12.75">
      <c r="A2353" s="203"/>
    </row>
    <row r="2354" ht="12.75">
      <c r="A2354" s="203"/>
    </row>
    <row r="2355" ht="12.75">
      <c r="A2355" s="203"/>
    </row>
    <row r="2356" ht="12.75">
      <c r="A2356" s="203"/>
    </row>
    <row r="2357" ht="12.75">
      <c r="A2357" s="203"/>
    </row>
    <row r="2358" ht="12.75">
      <c r="A2358" s="203"/>
    </row>
    <row r="2359" ht="12.75">
      <c r="A2359" s="203"/>
    </row>
    <row r="2360" ht="12.75">
      <c r="A2360" s="203"/>
    </row>
    <row r="2361" ht="12.75">
      <c r="A2361" s="203"/>
    </row>
    <row r="2362" ht="12.75">
      <c r="A2362" s="203"/>
    </row>
    <row r="2363" ht="12.75">
      <c r="A2363" s="203"/>
    </row>
    <row r="2364" ht="12.75">
      <c r="A2364" s="203"/>
    </row>
    <row r="2365" ht="12.75">
      <c r="A2365" s="203"/>
    </row>
    <row r="2366" ht="12.75">
      <c r="A2366" s="203"/>
    </row>
    <row r="2367" ht="12.75">
      <c r="A2367" s="203"/>
    </row>
    <row r="2368" ht="12.75">
      <c r="A2368" s="203"/>
    </row>
    <row r="2369" ht="12.75">
      <c r="A2369" s="203"/>
    </row>
    <row r="2370" ht="12.75">
      <c r="A2370" s="203"/>
    </row>
    <row r="2371" ht="12.75">
      <c r="A2371" s="203"/>
    </row>
    <row r="2372" ht="12.75">
      <c r="A2372" s="203"/>
    </row>
    <row r="2373" ht="12.75">
      <c r="A2373" s="203"/>
    </row>
    <row r="2374" ht="12.75">
      <c r="A2374" s="203"/>
    </row>
    <row r="2375" ht="12.75">
      <c r="A2375" s="203"/>
    </row>
    <row r="2376" ht="12.75">
      <c r="A2376" s="203"/>
    </row>
    <row r="2377" ht="12.75">
      <c r="A2377" s="203"/>
    </row>
    <row r="2378" ht="12.75">
      <c r="A2378" s="203"/>
    </row>
    <row r="2379" ht="12.75">
      <c r="A2379" s="203"/>
    </row>
    <row r="2380" ht="12.75">
      <c r="A2380" s="203"/>
    </row>
    <row r="2381" ht="12.75">
      <c r="A2381" s="203"/>
    </row>
    <row r="2382" ht="12.75">
      <c r="A2382" s="203"/>
    </row>
    <row r="2383" ht="12.75">
      <c r="A2383" s="203"/>
    </row>
    <row r="2384" ht="12.75">
      <c r="A2384" s="203"/>
    </row>
    <row r="2385" ht="12.75">
      <c r="A2385" s="203"/>
    </row>
    <row r="2386" ht="12.75">
      <c r="A2386" s="203"/>
    </row>
    <row r="2387" ht="12.75">
      <c r="A2387" s="203"/>
    </row>
    <row r="2388" ht="12.75">
      <c r="A2388" s="203"/>
    </row>
    <row r="2389" ht="12.75">
      <c r="A2389" s="203"/>
    </row>
    <row r="2390" ht="12.75">
      <c r="A2390" s="203"/>
    </row>
    <row r="2391" ht="12.75">
      <c r="A2391" s="203"/>
    </row>
    <row r="2392" ht="12.75">
      <c r="A2392" s="203"/>
    </row>
    <row r="2393" ht="12.75">
      <c r="A2393" s="203"/>
    </row>
    <row r="2394" ht="12.75">
      <c r="A2394" s="203"/>
    </row>
    <row r="2395" ht="12.75">
      <c r="A2395" s="203"/>
    </row>
    <row r="2396" ht="12.75">
      <c r="A2396" s="203"/>
    </row>
    <row r="2397" ht="12.75">
      <c r="A2397" s="203"/>
    </row>
    <row r="2398" ht="12.75">
      <c r="A2398" s="203"/>
    </row>
    <row r="2399" ht="12.75">
      <c r="A2399" s="203"/>
    </row>
    <row r="2400" ht="12.75">
      <c r="A2400" s="203"/>
    </row>
    <row r="2401" ht="12.75">
      <c r="A2401" s="203"/>
    </row>
    <row r="2402" ht="12.75">
      <c r="A2402" s="203"/>
    </row>
    <row r="2403" ht="12.75">
      <c r="A2403" s="203"/>
    </row>
    <row r="2404" ht="12.75">
      <c r="A2404" s="203"/>
    </row>
    <row r="2405" ht="12.75">
      <c r="A2405" s="203"/>
    </row>
    <row r="2406" ht="12.75">
      <c r="A2406" s="203"/>
    </row>
    <row r="2407" ht="12.75">
      <c r="A2407" s="203"/>
    </row>
    <row r="2408" ht="12.75">
      <c r="A2408" s="203"/>
    </row>
    <row r="2409" ht="12.75">
      <c r="A2409" s="203"/>
    </row>
    <row r="2410" ht="12.75">
      <c r="A2410" s="203"/>
    </row>
    <row r="2411" ht="12.75">
      <c r="A2411" s="203"/>
    </row>
    <row r="2412" ht="12.75">
      <c r="A2412" s="203"/>
    </row>
    <row r="2413" ht="12.75">
      <c r="A2413" s="203"/>
    </row>
    <row r="2414" ht="12.75">
      <c r="A2414" s="203"/>
    </row>
    <row r="2415" ht="12.75">
      <c r="A2415" s="203"/>
    </row>
    <row r="2416" ht="12.75">
      <c r="A2416" s="203"/>
    </row>
    <row r="2417" ht="12.75">
      <c r="A2417" s="203"/>
    </row>
    <row r="2418" ht="12.75">
      <c r="A2418" s="203"/>
    </row>
    <row r="2419" ht="12.75">
      <c r="A2419" s="203"/>
    </row>
    <row r="2420" ht="12.75">
      <c r="A2420" s="203"/>
    </row>
    <row r="2421" ht="12.75">
      <c r="A2421" s="203"/>
    </row>
    <row r="2422" ht="12.75">
      <c r="A2422" s="203"/>
    </row>
    <row r="2423" ht="12.75">
      <c r="A2423" s="203"/>
    </row>
    <row r="2424" ht="12.75">
      <c r="A2424" s="203"/>
    </row>
    <row r="2425" ht="12.75">
      <c r="A2425" s="203"/>
    </row>
    <row r="2426" ht="12.75">
      <c r="A2426" s="203"/>
    </row>
    <row r="2427" ht="12.75">
      <c r="A2427" s="203"/>
    </row>
    <row r="2428" ht="12.75">
      <c r="A2428" s="203"/>
    </row>
    <row r="2429" ht="12.75">
      <c r="A2429" s="203"/>
    </row>
    <row r="2430" ht="12.75">
      <c r="A2430" s="203"/>
    </row>
    <row r="2431" ht="12.75">
      <c r="A2431" s="203"/>
    </row>
    <row r="2432" ht="12.75">
      <c r="A2432" s="203"/>
    </row>
    <row r="2433" ht="12.75">
      <c r="A2433" s="203"/>
    </row>
    <row r="2434" ht="12.75">
      <c r="A2434" s="203"/>
    </row>
    <row r="2435" ht="12.75">
      <c r="A2435" s="203"/>
    </row>
    <row r="2436" ht="12.75">
      <c r="A2436" s="203"/>
    </row>
    <row r="2437" ht="12.75">
      <c r="A2437" s="203"/>
    </row>
    <row r="2438" ht="12.75">
      <c r="A2438" s="203"/>
    </row>
    <row r="2439" ht="12.75">
      <c r="A2439" s="203"/>
    </row>
    <row r="2440" ht="12.75">
      <c r="A2440" s="203"/>
    </row>
    <row r="2441" ht="12.75">
      <c r="A2441" s="203"/>
    </row>
    <row r="2442" ht="12.75">
      <c r="A2442" s="203"/>
    </row>
    <row r="2443" ht="12.75">
      <c r="A2443" s="203"/>
    </row>
    <row r="2444" ht="12.75">
      <c r="A2444" s="203"/>
    </row>
    <row r="2445" ht="12.75">
      <c r="A2445" s="203"/>
    </row>
    <row r="2446" ht="12.75">
      <c r="A2446" s="203"/>
    </row>
    <row r="2447" ht="12.75">
      <c r="A2447" s="203"/>
    </row>
    <row r="2448" ht="12.75">
      <c r="A2448" s="203"/>
    </row>
    <row r="2449" ht="12.75">
      <c r="A2449" s="203"/>
    </row>
    <row r="2450" ht="12.75">
      <c r="A2450" s="203"/>
    </row>
    <row r="2451" ht="12.75">
      <c r="A2451" s="203"/>
    </row>
    <row r="2452" ht="12.75">
      <c r="A2452" s="203"/>
    </row>
    <row r="2453" ht="12.75">
      <c r="A2453" s="203"/>
    </row>
    <row r="2454" ht="12.75">
      <c r="A2454" s="203"/>
    </row>
    <row r="2455" ht="12.75">
      <c r="A2455" s="203"/>
    </row>
    <row r="2456" ht="12.75">
      <c r="A2456" s="203"/>
    </row>
    <row r="2457" ht="12.75">
      <c r="A2457" s="203"/>
    </row>
    <row r="2458" ht="12.75">
      <c r="A2458" s="203"/>
    </row>
    <row r="2459" ht="12.75">
      <c r="A2459" s="203"/>
    </row>
    <row r="2460" ht="12.75">
      <c r="A2460" s="203"/>
    </row>
    <row r="2461" ht="12.75">
      <c r="A2461" s="203"/>
    </row>
    <row r="2462" ht="12.75">
      <c r="A2462" s="203"/>
    </row>
    <row r="2463" ht="12.75">
      <c r="A2463" s="203"/>
    </row>
    <row r="2464" ht="12.75">
      <c r="A2464" s="203"/>
    </row>
    <row r="2465" ht="12.75">
      <c r="A2465" s="203"/>
    </row>
    <row r="2466" ht="12.75">
      <c r="A2466" s="203"/>
    </row>
    <row r="2467" ht="12.75">
      <c r="A2467" s="203"/>
    </row>
    <row r="2468" ht="12.75">
      <c r="A2468" s="203"/>
    </row>
    <row r="2469" ht="12.75">
      <c r="A2469" s="203"/>
    </row>
    <row r="2470" ht="12.75">
      <c r="A2470" s="203"/>
    </row>
    <row r="2471" ht="12.75">
      <c r="A2471" s="203"/>
    </row>
    <row r="2472" ht="12.75">
      <c r="A2472" s="203"/>
    </row>
    <row r="2473" ht="12.75">
      <c r="A2473" s="203"/>
    </row>
    <row r="2474" ht="12.75">
      <c r="A2474" s="203"/>
    </row>
    <row r="2475" ht="12.75">
      <c r="A2475" s="203"/>
    </row>
    <row r="2476" ht="12.75">
      <c r="A2476" s="203"/>
    </row>
    <row r="2477" ht="12.75">
      <c r="A2477" s="203"/>
    </row>
    <row r="2478" ht="12.75">
      <c r="A2478" s="203"/>
    </row>
    <row r="2479" ht="12.75">
      <c r="A2479" s="203"/>
    </row>
    <row r="2480" ht="12.75">
      <c r="A2480" s="203"/>
    </row>
    <row r="2481" ht="12.75">
      <c r="A2481" s="203"/>
    </row>
    <row r="2482" ht="12.75">
      <c r="A2482" s="203"/>
    </row>
    <row r="2483" ht="12.75">
      <c r="A2483" s="203"/>
    </row>
    <row r="2484" ht="12.75">
      <c r="A2484" s="203"/>
    </row>
    <row r="2485" ht="12.75">
      <c r="A2485" s="203"/>
    </row>
    <row r="2486" ht="12.75">
      <c r="A2486" s="203"/>
    </row>
    <row r="2487" ht="12.75">
      <c r="A2487" s="203"/>
    </row>
    <row r="2488" ht="12.75">
      <c r="A2488" s="203"/>
    </row>
    <row r="2489" ht="12.75">
      <c r="A2489" s="203"/>
    </row>
    <row r="2490" ht="12.75">
      <c r="A2490" s="203"/>
    </row>
    <row r="2491" ht="12.75">
      <c r="A2491" s="203"/>
    </row>
    <row r="2492" ht="12.75">
      <c r="A2492" s="203"/>
    </row>
    <row r="2493" ht="12.75">
      <c r="A2493" s="203"/>
    </row>
    <row r="2494" ht="12.75">
      <c r="A2494" s="203"/>
    </row>
    <row r="2495" ht="12.75">
      <c r="A2495" s="203"/>
    </row>
    <row r="2496" ht="12.75">
      <c r="A2496" s="203"/>
    </row>
    <row r="2497" ht="12.75">
      <c r="A2497" s="203"/>
    </row>
    <row r="2498" ht="12.75">
      <c r="A2498" s="203"/>
    </row>
    <row r="2499" ht="12.75">
      <c r="A2499" s="203"/>
    </row>
    <row r="2500" ht="12.75">
      <c r="A2500" s="203"/>
    </row>
    <row r="2501" ht="12.75">
      <c r="A2501" s="203"/>
    </row>
    <row r="2502" ht="12.75">
      <c r="A2502" s="203"/>
    </row>
    <row r="2503" ht="12.75">
      <c r="A2503" s="203"/>
    </row>
    <row r="2504" ht="12.75">
      <c r="A2504" s="203"/>
    </row>
    <row r="2505" ht="12.75">
      <c r="A2505" s="203"/>
    </row>
    <row r="2506" ht="12.75">
      <c r="A2506" s="203"/>
    </row>
    <row r="2507" ht="12.75">
      <c r="A2507" s="203"/>
    </row>
    <row r="2508" ht="12.75">
      <c r="A2508" s="203"/>
    </row>
    <row r="2509" ht="12.75">
      <c r="A2509" s="203"/>
    </row>
    <row r="2510" ht="12.75">
      <c r="A2510" s="203"/>
    </row>
    <row r="2511" ht="12.75">
      <c r="A2511" s="203"/>
    </row>
    <row r="2512" ht="12.75">
      <c r="A2512" s="203"/>
    </row>
    <row r="2513" ht="12.75">
      <c r="A2513" s="203"/>
    </row>
    <row r="2514" ht="12.75">
      <c r="A2514" s="203"/>
    </row>
    <row r="2515" ht="12.75">
      <c r="A2515" s="203"/>
    </row>
    <row r="2516" ht="12.75">
      <c r="A2516" s="203"/>
    </row>
    <row r="2517" ht="12.75">
      <c r="A2517" s="203"/>
    </row>
    <row r="2518" ht="12.75">
      <c r="A2518" s="203"/>
    </row>
    <row r="2519" ht="12.75">
      <c r="A2519" s="203"/>
    </row>
    <row r="2520" ht="12.75">
      <c r="A2520" s="203"/>
    </row>
    <row r="2521" ht="12.75">
      <c r="A2521" s="203"/>
    </row>
    <row r="2522" ht="12.75">
      <c r="A2522" s="203"/>
    </row>
    <row r="2523" ht="12.75">
      <c r="A2523" s="203"/>
    </row>
    <row r="2524" ht="12.75">
      <c r="A2524" s="203"/>
    </row>
    <row r="2525" ht="12.75">
      <c r="A2525" s="203"/>
    </row>
    <row r="2526" ht="12.75">
      <c r="A2526" s="203"/>
    </row>
    <row r="2527" ht="12.75">
      <c r="A2527" s="203"/>
    </row>
    <row r="2528" ht="12.75">
      <c r="A2528" s="203"/>
    </row>
    <row r="2529" ht="12.75">
      <c r="A2529" s="203"/>
    </row>
    <row r="2530" ht="12.75">
      <c r="A2530" s="203"/>
    </row>
    <row r="2531" ht="12.75">
      <c r="A2531" s="203"/>
    </row>
    <row r="2532" ht="12.75">
      <c r="A2532" s="203"/>
    </row>
    <row r="2533" ht="12.75">
      <c r="A2533" s="203"/>
    </row>
    <row r="2534" ht="12.75">
      <c r="A2534" s="203"/>
    </row>
    <row r="2535" ht="12.75">
      <c r="A2535" s="203"/>
    </row>
    <row r="2536" ht="12.75">
      <c r="A2536" s="203"/>
    </row>
    <row r="2537" ht="12.75">
      <c r="A2537" s="203"/>
    </row>
    <row r="2538" ht="12.75">
      <c r="A2538" s="203"/>
    </row>
    <row r="2539" ht="12.75">
      <c r="A2539" s="203"/>
    </row>
    <row r="2540" ht="12.75">
      <c r="A2540" s="203"/>
    </row>
    <row r="2541" ht="12.75">
      <c r="A2541" s="203"/>
    </row>
    <row r="2542" ht="12.75">
      <c r="A2542" s="203"/>
    </row>
    <row r="2543" ht="12.75">
      <c r="A2543" s="203"/>
    </row>
    <row r="2544" ht="12.75">
      <c r="A2544" s="203"/>
    </row>
    <row r="2545" ht="12.75">
      <c r="A2545" s="203"/>
    </row>
    <row r="2546" ht="12.75">
      <c r="A2546" s="203"/>
    </row>
    <row r="2547" ht="12.75">
      <c r="A2547" s="203"/>
    </row>
    <row r="2548" ht="12.75">
      <c r="A2548" s="203"/>
    </row>
    <row r="2549" ht="12.75">
      <c r="A2549" s="203"/>
    </row>
    <row r="2550" ht="12.75">
      <c r="A2550" s="203"/>
    </row>
    <row r="2551" ht="12.75">
      <c r="A2551" s="203"/>
    </row>
    <row r="2552" ht="12.75">
      <c r="A2552" s="203"/>
    </row>
    <row r="2553" ht="12.75">
      <c r="A2553" s="203"/>
    </row>
    <row r="2554" ht="12.75">
      <c r="A2554" s="203"/>
    </row>
    <row r="2555" ht="12.75">
      <c r="A2555" s="203"/>
    </row>
    <row r="2556" ht="12.75">
      <c r="A2556" s="203"/>
    </row>
    <row r="2557" ht="12.75">
      <c r="A2557" s="203"/>
    </row>
    <row r="2558" ht="12.75">
      <c r="A2558" s="203"/>
    </row>
    <row r="2559" ht="12.75">
      <c r="A2559" s="203"/>
    </row>
    <row r="2560" ht="12.75">
      <c r="A2560" s="203"/>
    </row>
    <row r="2561" ht="12.75">
      <c r="A2561" s="203"/>
    </row>
    <row r="2562" ht="12.75">
      <c r="A2562" s="203"/>
    </row>
    <row r="2563" ht="12.75">
      <c r="A2563" s="203"/>
    </row>
    <row r="2564" ht="12.75">
      <c r="A2564" s="203"/>
    </row>
    <row r="2565" ht="12.75">
      <c r="A2565" s="203"/>
    </row>
    <row r="2566" ht="12.75">
      <c r="A2566" s="203"/>
    </row>
    <row r="2567" ht="12.75">
      <c r="A2567" s="203"/>
    </row>
    <row r="2568" ht="12.75">
      <c r="A2568" s="203"/>
    </row>
    <row r="2569" ht="12.75">
      <c r="A2569" s="203"/>
    </row>
    <row r="2570" ht="12.75">
      <c r="A2570" s="203"/>
    </row>
    <row r="2571" ht="12.75">
      <c r="A2571" s="203"/>
    </row>
    <row r="2572" ht="12.75">
      <c r="A2572" s="203"/>
    </row>
    <row r="2573" ht="12.75">
      <c r="A2573" s="203"/>
    </row>
    <row r="2574" ht="12.75">
      <c r="A2574" s="203"/>
    </row>
    <row r="2575" ht="12.75">
      <c r="A2575" s="203"/>
    </row>
    <row r="2576" ht="12.75">
      <c r="A2576" s="203"/>
    </row>
    <row r="2577" ht="12.75">
      <c r="A2577" s="203"/>
    </row>
    <row r="2578" ht="12.75">
      <c r="A2578" s="203"/>
    </row>
    <row r="2579" ht="12.75">
      <c r="A2579" s="203"/>
    </row>
    <row r="2580" ht="12.75">
      <c r="A2580" s="203"/>
    </row>
    <row r="2581" ht="12.75">
      <c r="A2581" s="203"/>
    </row>
    <row r="2582" ht="12.75">
      <c r="A2582" s="203"/>
    </row>
    <row r="2583" ht="12.75">
      <c r="A2583" s="203"/>
    </row>
    <row r="2584" ht="12.75">
      <c r="A2584" s="203"/>
    </row>
    <row r="2585" ht="12.75">
      <c r="A2585" s="203"/>
    </row>
    <row r="2586" ht="12.75">
      <c r="A2586" s="203"/>
    </row>
    <row r="2587" ht="12.75">
      <c r="A2587" s="203"/>
    </row>
    <row r="2588" ht="12.75">
      <c r="A2588" s="203"/>
    </row>
    <row r="2589" ht="12.75">
      <c r="A2589" s="203"/>
    </row>
    <row r="2590" ht="12.75">
      <c r="A2590" s="203"/>
    </row>
    <row r="2591" ht="12.75">
      <c r="A2591" s="203"/>
    </row>
    <row r="2592" ht="12.75">
      <c r="A2592" s="203"/>
    </row>
    <row r="2593" ht="12.75">
      <c r="A2593" s="203"/>
    </row>
    <row r="2594" ht="12.75">
      <c r="A2594" s="203"/>
    </row>
    <row r="2595" ht="12.75">
      <c r="A2595" s="203"/>
    </row>
    <row r="2596" ht="12.75">
      <c r="A2596" s="203"/>
    </row>
    <row r="2597" ht="12.75">
      <c r="A2597" s="203"/>
    </row>
    <row r="2598" ht="12.75">
      <c r="A2598" s="203"/>
    </row>
    <row r="2599" ht="12.75">
      <c r="A2599" s="203"/>
    </row>
    <row r="2600" ht="12.75">
      <c r="A2600" s="203"/>
    </row>
    <row r="2601" ht="12.75">
      <c r="A2601" s="203"/>
    </row>
    <row r="2602" ht="12.75">
      <c r="A2602" s="203"/>
    </row>
    <row r="2603" ht="12.75">
      <c r="A2603" s="203"/>
    </row>
    <row r="2604" ht="12.75">
      <c r="A2604" s="203"/>
    </row>
    <row r="2605" ht="12.75">
      <c r="A2605" s="203"/>
    </row>
    <row r="2606" ht="12.75">
      <c r="A2606" s="203"/>
    </row>
    <row r="2607" ht="12.75">
      <c r="A2607" s="203"/>
    </row>
    <row r="2608" ht="12.75">
      <c r="A2608" s="203"/>
    </row>
    <row r="2609" ht="12.75">
      <c r="A2609" s="203"/>
    </row>
    <row r="2610" ht="12.75">
      <c r="A2610" s="203"/>
    </row>
    <row r="2611" ht="12.75">
      <c r="A2611" s="203"/>
    </row>
    <row r="2612" ht="12.75">
      <c r="A2612" s="203"/>
    </row>
    <row r="2613" ht="12.75">
      <c r="A2613" s="203"/>
    </row>
    <row r="2614" ht="12.75">
      <c r="A2614" s="203"/>
    </row>
    <row r="2615" ht="12.75">
      <c r="A2615" s="203"/>
    </row>
    <row r="2616" ht="12.75">
      <c r="A2616" s="203"/>
    </row>
    <row r="2617" ht="12.75">
      <c r="A2617" s="203"/>
    </row>
    <row r="2618" ht="12.75">
      <c r="A2618" s="203"/>
    </row>
    <row r="2619" ht="12.75">
      <c r="A2619" s="203"/>
    </row>
    <row r="2620" ht="12.75">
      <c r="A2620" s="203"/>
    </row>
    <row r="2621" ht="12.75">
      <c r="A2621" s="203"/>
    </row>
    <row r="2622" ht="12.75">
      <c r="A2622" s="203"/>
    </row>
    <row r="2623" ht="12.75">
      <c r="A2623" s="203"/>
    </row>
    <row r="2624" ht="12.75">
      <c r="A2624" s="203"/>
    </row>
    <row r="2625" ht="12.75">
      <c r="A2625" s="203"/>
    </row>
    <row r="2626" ht="12.75">
      <c r="A2626" s="203"/>
    </row>
    <row r="2627" ht="12.75">
      <c r="A2627" s="203"/>
    </row>
    <row r="2628" ht="12.75">
      <c r="A2628" s="203"/>
    </row>
    <row r="2629" ht="12.75">
      <c r="A2629" s="203"/>
    </row>
    <row r="2630" ht="12.75">
      <c r="A2630" s="203"/>
    </row>
    <row r="2631" ht="12.75">
      <c r="A2631" s="203"/>
    </row>
    <row r="2632" ht="12.75">
      <c r="A2632" s="203"/>
    </row>
    <row r="2633" ht="12.75">
      <c r="A2633" s="203"/>
    </row>
    <row r="2634" ht="12.75">
      <c r="A2634" s="203"/>
    </row>
    <row r="2635" ht="12.75">
      <c r="A2635" s="203"/>
    </row>
    <row r="2636" ht="12.75">
      <c r="A2636" s="203"/>
    </row>
    <row r="2637" ht="12.75">
      <c r="A2637" s="203"/>
    </row>
    <row r="2638" ht="12.75">
      <c r="A2638" s="203"/>
    </row>
    <row r="2639" ht="12.75">
      <c r="A2639" s="203"/>
    </row>
    <row r="2640" ht="12.75">
      <c r="A2640" s="203"/>
    </row>
    <row r="2641" ht="12.75">
      <c r="A2641" s="203"/>
    </row>
    <row r="2642" ht="12.75">
      <c r="A2642" s="203"/>
    </row>
    <row r="2643" ht="12.75">
      <c r="A2643" s="203"/>
    </row>
    <row r="2644" ht="12.75">
      <c r="A2644" s="203"/>
    </row>
    <row r="2645" ht="12.75">
      <c r="A2645" s="203"/>
    </row>
    <row r="2646" ht="12.75">
      <c r="A2646" s="203"/>
    </row>
    <row r="2647" ht="12.75">
      <c r="A2647" s="203"/>
    </row>
    <row r="2648" ht="12.75">
      <c r="A2648" s="203"/>
    </row>
    <row r="2649" ht="12.75">
      <c r="A2649" s="203"/>
    </row>
    <row r="2650" ht="12.75">
      <c r="A2650" s="203"/>
    </row>
    <row r="2651" ht="12.75">
      <c r="A2651" s="203"/>
    </row>
    <row r="2652" ht="12.75">
      <c r="A2652" s="203"/>
    </row>
    <row r="2653" ht="12.75">
      <c r="A2653" s="203"/>
    </row>
    <row r="2654" ht="12.75">
      <c r="A2654" s="203"/>
    </row>
    <row r="2655" ht="12.75">
      <c r="A2655" s="203"/>
    </row>
    <row r="2656" ht="12.75">
      <c r="A2656" s="203"/>
    </row>
    <row r="2657" ht="12.75">
      <c r="A2657" s="203"/>
    </row>
    <row r="2658" ht="12.75">
      <c r="A2658" s="203"/>
    </row>
    <row r="2659" ht="12.75">
      <c r="A2659" s="203"/>
    </row>
    <row r="2660" ht="12.75">
      <c r="A2660" s="203"/>
    </row>
    <row r="2661" ht="12.75">
      <c r="A2661" s="203"/>
    </row>
    <row r="2662" ht="12.75">
      <c r="A2662" s="203"/>
    </row>
    <row r="2663" ht="12.75">
      <c r="A2663" s="203"/>
    </row>
    <row r="2664" ht="12.75">
      <c r="A2664" s="203"/>
    </row>
    <row r="2665" ht="12.75">
      <c r="A2665" s="203"/>
    </row>
    <row r="2666" ht="12.75">
      <c r="A2666" s="203"/>
    </row>
    <row r="2667" ht="12.75">
      <c r="A2667" s="203"/>
    </row>
    <row r="2668" ht="12.75">
      <c r="A2668" s="203"/>
    </row>
    <row r="2669" ht="12.75">
      <c r="A2669" s="203"/>
    </row>
    <row r="2670" ht="12.75">
      <c r="A2670" s="203"/>
    </row>
    <row r="2671" ht="12.75">
      <c r="A2671" s="203"/>
    </row>
    <row r="2672" ht="12.75">
      <c r="A2672" s="203"/>
    </row>
    <row r="2673" ht="12.75">
      <c r="A2673" s="203"/>
    </row>
    <row r="2674" ht="12.75">
      <c r="A2674" s="203"/>
    </row>
    <row r="2675" ht="12.75">
      <c r="A2675" s="203"/>
    </row>
    <row r="2676" ht="12.75">
      <c r="A2676" s="203"/>
    </row>
    <row r="2677" ht="12.75">
      <c r="A2677" s="203"/>
    </row>
    <row r="2678" ht="12.75">
      <c r="A2678" s="203"/>
    </row>
    <row r="2679" ht="12.75">
      <c r="A2679" s="203"/>
    </row>
    <row r="2680" ht="12.75">
      <c r="A2680" s="203"/>
    </row>
    <row r="2681" ht="12.75">
      <c r="A2681" s="203"/>
    </row>
    <row r="2682" ht="12.75">
      <c r="A2682" s="203"/>
    </row>
    <row r="2683" ht="12.75">
      <c r="A2683" s="203"/>
    </row>
    <row r="2684" ht="12.75">
      <c r="A2684" s="203"/>
    </row>
    <row r="2685" ht="12.75">
      <c r="A2685" s="203"/>
    </row>
    <row r="2686" ht="12.75">
      <c r="A2686" s="203"/>
    </row>
    <row r="2687" ht="12.75">
      <c r="A2687" s="203"/>
    </row>
    <row r="2688" ht="12.75">
      <c r="A2688" s="203"/>
    </row>
    <row r="2689" ht="12.75">
      <c r="A2689" s="203"/>
    </row>
    <row r="2690" ht="12.75">
      <c r="A2690" s="203"/>
    </row>
    <row r="2691" ht="12.75">
      <c r="A2691" s="203"/>
    </row>
    <row r="2692" ht="12.75">
      <c r="A2692" s="203"/>
    </row>
    <row r="2693" ht="12.75">
      <c r="A2693" s="203"/>
    </row>
    <row r="2694" ht="12.75">
      <c r="A2694" s="203"/>
    </row>
    <row r="2695" ht="12.75">
      <c r="A2695" s="203"/>
    </row>
    <row r="2696" ht="12.75">
      <c r="A2696" s="203"/>
    </row>
    <row r="2697" ht="12.75">
      <c r="A2697" s="203"/>
    </row>
    <row r="2698" ht="12.75">
      <c r="A2698" s="203"/>
    </row>
    <row r="2699" ht="12.75">
      <c r="A2699" s="203"/>
    </row>
    <row r="2700" ht="12.75">
      <c r="A2700" s="203"/>
    </row>
    <row r="2701" ht="12.75">
      <c r="A2701" s="203"/>
    </row>
    <row r="2702" ht="12.75">
      <c r="A2702" s="203"/>
    </row>
    <row r="2703" ht="12.75">
      <c r="A2703" s="203"/>
    </row>
    <row r="2704" ht="12.75">
      <c r="A2704" s="203"/>
    </row>
    <row r="2705" ht="12.75">
      <c r="A2705" s="203"/>
    </row>
    <row r="2706" ht="12.75">
      <c r="A2706" s="203"/>
    </row>
    <row r="2707" ht="12.75">
      <c r="A2707" s="203"/>
    </row>
    <row r="2708" ht="12.75">
      <c r="A2708" s="203"/>
    </row>
    <row r="2709" ht="12.75">
      <c r="A2709" s="203"/>
    </row>
    <row r="2710" ht="12.75">
      <c r="A2710" s="203"/>
    </row>
    <row r="2711" ht="12.75">
      <c r="A2711" s="203"/>
    </row>
    <row r="2712" ht="12.75">
      <c r="A2712" s="203"/>
    </row>
    <row r="2713" ht="12.75">
      <c r="A2713" s="203"/>
    </row>
    <row r="2714" ht="12.75">
      <c r="A2714" s="203"/>
    </row>
    <row r="2715" ht="12.75">
      <c r="A2715" s="203"/>
    </row>
    <row r="2716" ht="12.75">
      <c r="A2716" s="203"/>
    </row>
    <row r="2717" ht="12.75">
      <c r="A2717" s="203"/>
    </row>
    <row r="2718" ht="12.75">
      <c r="A2718" s="203"/>
    </row>
    <row r="2719" ht="12.75">
      <c r="A2719" s="203"/>
    </row>
    <row r="2720" ht="12.75">
      <c r="A2720" s="203"/>
    </row>
    <row r="2721" ht="12.75">
      <c r="A2721" s="203"/>
    </row>
    <row r="2722" ht="12.75">
      <c r="A2722" s="203"/>
    </row>
    <row r="2723" ht="12.75">
      <c r="A2723" s="203"/>
    </row>
    <row r="2724" ht="12.75">
      <c r="A2724" s="203"/>
    </row>
    <row r="2725" ht="12.75">
      <c r="A2725" s="203"/>
    </row>
    <row r="2726" ht="12.75">
      <c r="A2726" s="203"/>
    </row>
    <row r="2727" ht="12.75">
      <c r="A2727" s="203"/>
    </row>
    <row r="2728" ht="12.75">
      <c r="A2728" s="203"/>
    </row>
    <row r="2729" ht="12.75">
      <c r="A2729" s="203"/>
    </row>
    <row r="2730" ht="12.75">
      <c r="A2730" s="203"/>
    </row>
    <row r="2731" ht="12.75">
      <c r="A2731" s="203"/>
    </row>
    <row r="2732" ht="12.75">
      <c r="A2732" s="203"/>
    </row>
    <row r="2733" ht="12.75">
      <c r="A2733" s="203"/>
    </row>
    <row r="2734" ht="12.75">
      <c r="A2734" s="203"/>
    </row>
    <row r="2735" ht="12.75">
      <c r="A2735" s="203"/>
    </row>
    <row r="2736" ht="12.75">
      <c r="A2736" s="203"/>
    </row>
    <row r="2737" ht="12.75">
      <c r="A2737" s="203"/>
    </row>
    <row r="2738" ht="12.75">
      <c r="A2738" s="203"/>
    </row>
    <row r="2739" ht="12.75">
      <c r="A2739" s="203"/>
    </row>
    <row r="2740" ht="12.75">
      <c r="A2740" s="203"/>
    </row>
    <row r="2741" ht="12.75">
      <c r="A2741" s="203"/>
    </row>
    <row r="2742" ht="12.75">
      <c r="A2742" s="203"/>
    </row>
    <row r="2743" ht="12.75">
      <c r="A2743" s="203"/>
    </row>
    <row r="2744" ht="12.75">
      <c r="A2744" s="203"/>
    </row>
    <row r="2745" ht="12.75">
      <c r="A2745" s="203"/>
    </row>
    <row r="2746" ht="12.75">
      <c r="A2746" s="203"/>
    </row>
    <row r="2747" ht="12.75">
      <c r="A2747" s="203"/>
    </row>
    <row r="2748" ht="12.75">
      <c r="A2748" s="203"/>
    </row>
    <row r="2749" ht="12.75">
      <c r="A2749" s="203"/>
    </row>
    <row r="2750" ht="12.75">
      <c r="A2750" s="203"/>
    </row>
    <row r="2751" ht="12.75">
      <c r="A2751" s="203"/>
    </row>
    <row r="2752" ht="12.75">
      <c r="A2752" s="203"/>
    </row>
    <row r="2753" ht="12.75">
      <c r="A2753" s="203"/>
    </row>
    <row r="2754" ht="12.75">
      <c r="A2754" s="203"/>
    </row>
    <row r="2755" ht="12.75">
      <c r="A2755" s="203"/>
    </row>
    <row r="2756" ht="12.75">
      <c r="A2756" s="203"/>
    </row>
    <row r="2757" ht="12.75">
      <c r="A2757" s="203"/>
    </row>
    <row r="2758" ht="12.75">
      <c r="A2758" s="203"/>
    </row>
    <row r="2759" ht="12.75">
      <c r="A2759" s="203"/>
    </row>
    <row r="2760" ht="12.75">
      <c r="A2760" s="203"/>
    </row>
    <row r="2761" ht="12.75">
      <c r="A2761" s="203"/>
    </row>
    <row r="2762" ht="12.75">
      <c r="A2762" s="203"/>
    </row>
    <row r="2763" ht="12.75">
      <c r="A2763" s="203"/>
    </row>
    <row r="2764" ht="12.75">
      <c r="A2764" s="203"/>
    </row>
    <row r="2765" ht="12.75">
      <c r="A2765" s="203"/>
    </row>
    <row r="2766" ht="12.75">
      <c r="A2766" s="203"/>
    </row>
    <row r="2767" ht="12.75">
      <c r="A2767" s="203"/>
    </row>
    <row r="2768" ht="12.75">
      <c r="A2768" s="203"/>
    </row>
    <row r="2769" ht="12.75">
      <c r="A2769" s="203"/>
    </row>
    <row r="2770" ht="12.75">
      <c r="A2770" s="203"/>
    </row>
    <row r="2771" ht="12.75">
      <c r="A2771" s="203"/>
    </row>
    <row r="2772" ht="12.75">
      <c r="A2772" s="203"/>
    </row>
    <row r="2773" ht="12.75">
      <c r="A2773" s="203"/>
    </row>
    <row r="2774" ht="12.75">
      <c r="A2774" s="203"/>
    </row>
    <row r="2775" ht="12.75">
      <c r="A2775" s="203"/>
    </row>
    <row r="2776" ht="12.75">
      <c r="A2776" s="203"/>
    </row>
    <row r="2777" ht="12.75">
      <c r="A2777" s="203"/>
    </row>
    <row r="2778" ht="12.75">
      <c r="A2778" s="203"/>
    </row>
    <row r="2779" ht="12.75">
      <c r="A2779" s="203"/>
    </row>
    <row r="2780" ht="12.75">
      <c r="A2780" s="203"/>
    </row>
    <row r="2781" ht="12.75">
      <c r="A2781" s="203"/>
    </row>
    <row r="2782" ht="12.75">
      <c r="A2782" s="203"/>
    </row>
    <row r="2783" ht="12.75">
      <c r="A2783" s="203"/>
    </row>
    <row r="2784" ht="12.75">
      <c r="A2784" s="203"/>
    </row>
    <row r="2785" ht="12.75">
      <c r="A2785" s="203"/>
    </row>
    <row r="2786" ht="12.75">
      <c r="A2786" s="203"/>
    </row>
    <row r="2787" ht="12.75">
      <c r="A2787" s="203"/>
    </row>
    <row r="2788" ht="12.75">
      <c r="A2788" s="203"/>
    </row>
    <row r="2789" ht="12.75">
      <c r="A2789" s="203"/>
    </row>
    <row r="2790" ht="12.75">
      <c r="A2790" s="203"/>
    </row>
    <row r="2791" ht="12.75">
      <c r="A2791" s="203"/>
    </row>
    <row r="2792" ht="12.75">
      <c r="A2792" s="203"/>
    </row>
    <row r="2793" ht="12.75">
      <c r="A2793" s="203"/>
    </row>
    <row r="2794" ht="12.75">
      <c r="A2794" s="203"/>
    </row>
    <row r="2795" ht="12.75">
      <c r="A2795" s="203"/>
    </row>
    <row r="2796" ht="12.75">
      <c r="A2796" s="203"/>
    </row>
    <row r="2797" ht="12.75">
      <c r="A2797" s="203"/>
    </row>
    <row r="2798" ht="12.75">
      <c r="A2798" s="203"/>
    </row>
    <row r="2799" ht="12.75">
      <c r="A2799" s="203"/>
    </row>
    <row r="2800" ht="12.75">
      <c r="A2800" s="203"/>
    </row>
    <row r="2801" ht="12.75">
      <c r="A2801" s="203"/>
    </row>
    <row r="2802" ht="12.75">
      <c r="A2802" s="203"/>
    </row>
    <row r="2803" ht="12.75">
      <c r="A2803" s="203"/>
    </row>
    <row r="2804" ht="12.75">
      <c r="A2804" s="203"/>
    </row>
    <row r="2805" ht="12.75">
      <c r="A2805" s="203"/>
    </row>
    <row r="2806" ht="12.75">
      <c r="A2806" s="203"/>
    </row>
    <row r="2807" ht="12.75">
      <c r="A2807" s="203"/>
    </row>
    <row r="2808" ht="12.75">
      <c r="A2808" s="203"/>
    </row>
    <row r="2809" ht="12.75">
      <c r="A2809" s="203"/>
    </row>
    <row r="2810" ht="12.75">
      <c r="A2810" s="203"/>
    </row>
    <row r="2811" ht="12.75">
      <c r="A2811" s="203"/>
    </row>
    <row r="2812" ht="12.75">
      <c r="A2812" s="203"/>
    </row>
    <row r="2813" ht="12.75">
      <c r="A2813" s="203"/>
    </row>
    <row r="2814" ht="12.75">
      <c r="A2814" s="203"/>
    </row>
    <row r="2815" ht="12.75">
      <c r="A2815" s="203"/>
    </row>
    <row r="2816" ht="12.75">
      <c r="A2816" s="203"/>
    </row>
    <row r="2817" ht="12.75">
      <c r="A2817" s="203"/>
    </row>
    <row r="2818" ht="12.75">
      <c r="A2818" s="203"/>
    </row>
    <row r="2819" ht="12.75">
      <c r="A2819" s="203"/>
    </row>
    <row r="2820" ht="12.75">
      <c r="A2820" s="203"/>
    </row>
    <row r="2821" ht="12.75">
      <c r="A2821" s="203"/>
    </row>
    <row r="2822" ht="12.75">
      <c r="A2822" s="203"/>
    </row>
    <row r="2823" ht="12.75">
      <c r="A2823" s="203"/>
    </row>
    <row r="2824" ht="12.75">
      <c r="A2824" s="203"/>
    </row>
    <row r="2825" ht="12.75">
      <c r="A2825" s="203"/>
    </row>
    <row r="2826" ht="12.75">
      <c r="A2826" s="203"/>
    </row>
    <row r="2827" ht="12.75">
      <c r="A2827" s="203"/>
    </row>
    <row r="2828" ht="12.75">
      <c r="A2828" s="203"/>
    </row>
    <row r="2829" ht="12.75">
      <c r="A2829" s="203"/>
    </row>
    <row r="2830" ht="12.75">
      <c r="A2830" s="203"/>
    </row>
    <row r="2831" ht="12.75">
      <c r="A2831" s="203"/>
    </row>
    <row r="2832" ht="12.75">
      <c r="A2832" s="203"/>
    </row>
    <row r="2833" ht="12.75">
      <c r="A2833" s="203"/>
    </row>
    <row r="2834" ht="12.75">
      <c r="A2834" s="203"/>
    </row>
    <row r="2835" ht="12.75">
      <c r="A2835" s="203"/>
    </row>
    <row r="2836" ht="12.75">
      <c r="A2836" s="203"/>
    </row>
    <row r="2837" ht="12.75">
      <c r="A2837" s="203"/>
    </row>
    <row r="2838" ht="12.75">
      <c r="A2838" s="203"/>
    </row>
    <row r="2839" ht="12.75">
      <c r="A2839" s="203"/>
    </row>
    <row r="2840" ht="12.75">
      <c r="A2840" s="203"/>
    </row>
    <row r="2841" ht="12.75">
      <c r="A2841" s="203"/>
    </row>
    <row r="2842" ht="12.75">
      <c r="A2842" s="203"/>
    </row>
    <row r="2843" ht="12.75">
      <c r="A2843" s="203"/>
    </row>
    <row r="2844" ht="12.75">
      <c r="A2844" s="203"/>
    </row>
    <row r="2845" ht="12.75">
      <c r="A2845" s="203"/>
    </row>
    <row r="2846" ht="12.75">
      <c r="A2846" s="203"/>
    </row>
    <row r="2847" ht="12.75">
      <c r="A2847" s="203"/>
    </row>
    <row r="2848" ht="12.75">
      <c r="A2848" s="203"/>
    </row>
    <row r="2849" ht="12.75">
      <c r="A2849" s="203"/>
    </row>
    <row r="2850" ht="12.75">
      <c r="A2850" s="203"/>
    </row>
    <row r="2851" ht="12.75">
      <c r="A2851" s="203"/>
    </row>
    <row r="2852" ht="12.75">
      <c r="A2852" s="203"/>
    </row>
    <row r="2853" ht="12.75">
      <c r="A2853" s="203"/>
    </row>
    <row r="2854" ht="12.75">
      <c r="A2854" s="203"/>
    </row>
    <row r="2855" ht="12.75">
      <c r="A2855" s="203"/>
    </row>
    <row r="2856" ht="12.75">
      <c r="A2856" s="203"/>
    </row>
    <row r="2857" ht="12.75">
      <c r="A2857" s="203"/>
    </row>
    <row r="2858" ht="12.75">
      <c r="A2858" s="203"/>
    </row>
    <row r="2859" ht="12.75">
      <c r="A2859" s="203"/>
    </row>
    <row r="2860" ht="12.75">
      <c r="A2860" s="203"/>
    </row>
    <row r="2861" ht="12.75">
      <c r="A2861" s="203"/>
    </row>
    <row r="2862" ht="12.75">
      <c r="A2862" s="203"/>
    </row>
    <row r="2863" ht="12.75">
      <c r="A2863" s="203"/>
    </row>
    <row r="2864" ht="12.75">
      <c r="A2864" s="203"/>
    </row>
    <row r="2865" ht="12.75">
      <c r="A2865" s="203"/>
    </row>
    <row r="2866" ht="12.75">
      <c r="A2866" s="203"/>
    </row>
    <row r="2867" ht="12.75">
      <c r="A2867" s="203"/>
    </row>
    <row r="2868" ht="12.75">
      <c r="A2868" s="203"/>
    </row>
    <row r="2869" ht="12.75">
      <c r="A2869" s="203"/>
    </row>
    <row r="2870" ht="12.75">
      <c r="A2870" s="203"/>
    </row>
    <row r="2871" ht="12.75">
      <c r="A2871" s="203"/>
    </row>
    <row r="2872" ht="12.75">
      <c r="A2872" s="203"/>
    </row>
    <row r="2873" ht="12.75">
      <c r="A2873" s="203"/>
    </row>
    <row r="2874" ht="12.75">
      <c r="A2874" s="203"/>
    </row>
    <row r="2875" ht="12.75">
      <c r="A2875" s="203"/>
    </row>
    <row r="2876" ht="12.75">
      <c r="A2876" s="203"/>
    </row>
    <row r="2877" ht="12.75">
      <c r="A2877" s="203"/>
    </row>
    <row r="2878" ht="12.75">
      <c r="A2878" s="203"/>
    </row>
    <row r="2879" ht="12.75">
      <c r="A2879" s="203"/>
    </row>
    <row r="2880" ht="12.75">
      <c r="A2880" s="203"/>
    </row>
    <row r="2881" ht="12.75">
      <c r="A2881" s="203"/>
    </row>
    <row r="2882" ht="12.75">
      <c r="A2882" s="203"/>
    </row>
    <row r="2883" ht="12.75">
      <c r="A2883" s="203"/>
    </row>
    <row r="2884" ht="12.75">
      <c r="A2884" s="203"/>
    </row>
    <row r="2885" ht="12.75">
      <c r="A2885" s="203"/>
    </row>
    <row r="2886" ht="12.75">
      <c r="A2886" s="203"/>
    </row>
    <row r="2887" ht="12.75">
      <c r="A2887" s="203"/>
    </row>
    <row r="2888" ht="12.75">
      <c r="A2888" s="203"/>
    </row>
    <row r="2889" ht="12.75">
      <c r="A2889" s="203"/>
    </row>
    <row r="2890" ht="12.75">
      <c r="A2890" s="203"/>
    </row>
    <row r="2891" ht="12.75">
      <c r="A2891" s="203"/>
    </row>
    <row r="2892" ht="12.75">
      <c r="A2892" s="203"/>
    </row>
    <row r="2893" ht="12.75">
      <c r="A2893" s="203"/>
    </row>
    <row r="2894" ht="12.75">
      <c r="A2894" s="203"/>
    </row>
    <row r="2895" ht="12.75">
      <c r="A2895" s="203"/>
    </row>
    <row r="2896" ht="12.75">
      <c r="A2896" s="203"/>
    </row>
    <row r="2897" ht="12.75">
      <c r="A2897" s="203"/>
    </row>
    <row r="2898" ht="12.75">
      <c r="A2898" s="203"/>
    </row>
    <row r="2899" ht="12.75">
      <c r="A2899" s="203"/>
    </row>
    <row r="2900" ht="12.75">
      <c r="A2900" s="203"/>
    </row>
    <row r="2901" ht="12.75">
      <c r="A2901" s="203"/>
    </row>
    <row r="2902" ht="12.75">
      <c r="A2902" s="203"/>
    </row>
    <row r="2903" ht="12.75">
      <c r="A2903" s="203"/>
    </row>
    <row r="2904" ht="12.75">
      <c r="A2904" s="203"/>
    </row>
    <row r="2905" ht="12.75">
      <c r="A2905" s="203"/>
    </row>
    <row r="2906" ht="12.75">
      <c r="A2906" s="203"/>
    </row>
    <row r="2907" ht="12.75">
      <c r="A2907" s="203"/>
    </row>
    <row r="2908" ht="12.75">
      <c r="A2908" s="203"/>
    </row>
    <row r="2909" ht="12.75">
      <c r="A2909" s="203"/>
    </row>
    <row r="2910" ht="12.75">
      <c r="A2910" s="203"/>
    </row>
    <row r="2911" ht="12.75">
      <c r="A2911" s="203"/>
    </row>
    <row r="2912" ht="12.75">
      <c r="A2912" s="203"/>
    </row>
    <row r="2913" ht="12.75">
      <c r="A2913" s="203"/>
    </row>
    <row r="2914" ht="12.75">
      <c r="A2914" s="203"/>
    </row>
    <row r="2915" ht="12.75">
      <c r="A2915" s="203"/>
    </row>
    <row r="2916" ht="12.75">
      <c r="A2916" s="203"/>
    </row>
    <row r="2917" ht="12.75">
      <c r="A2917" s="203"/>
    </row>
    <row r="2918" ht="12.75">
      <c r="A2918" s="203"/>
    </row>
    <row r="2919" ht="12.75">
      <c r="A2919" s="203"/>
    </row>
    <row r="2920" ht="12.75">
      <c r="A2920" s="203"/>
    </row>
    <row r="2921" ht="12.75">
      <c r="A2921" s="203"/>
    </row>
    <row r="2922" ht="12.75">
      <c r="A2922" s="203"/>
    </row>
    <row r="2923" ht="12.75">
      <c r="A2923" s="203"/>
    </row>
    <row r="2924" ht="12.75">
      <c r="A2924" s="203"/>
    </row>
    <row r="2925" ht="12.75">
      <c r="A2925" s="203"/>
    </row>
    <row r="2926" ht="12.75">
      <c r="A2926" s="203"/>
    </row>
    <row r="2927" ht="12.75">
      <c r="A2927" s="203"/>
    </row>
    <row r="2928" ht="12.75">
      <c r="A2928" s="203"/>
    </row>
    <row r="2929" ht="12.75">
      <c r="A2929" s="203"/>
    </row>
    <row r="2930" ht="12.75">
      <c r="A2930" s="203"/>
    </row>
    <row r="2931" ht="12.75">
      <c r="A2931" s="203"/>
    </row>
    <row r="2932" ht="12.75">
      <c r="A2932" s="203"/>
    </row>
    <row r="2933" ht="12.75">
      <c r="A2933" s="203"/>
    </row>
    <row r="2934" ht="12.75">
      <c r="A2934" s="203"/>
    </row>
    <row r="2935" ht="12.75">
      <c r="A2935" s="203"/>
    </row>
    <row r="2936" ht="12.75">
      <c r="A2936" s="203"/>
    </row>
    <row r="2937" ht="12.75">
      <c r="A2937" s="203"/>
    </row>
    <row r="2938" ht="12.75">
      <c r="A2938" s="203"/>
    </row>
    <row r="2939" ht="12.75">
      <c r="A2939" s="203"/>
    </row>
    <row r="2940" ht="12.75">
      <c r="A2940" s="203"/>
    </row>
    <row r="2941" ht="12.75">
      <c r="A2941" s="203"/>
    </row>
    <row r="2942" ht="12.75">
      <c r="A2942" s="203"/>
    </row>
    <row r="2943" ht="12.75">
      <c r="A2943" s="203"/>
    </row>
    <row r="2944" ht="12.75">
      <c r="A2944" s="203"/>
    </row>
    <row r="2945" ht="12.75">
      <c r="A2945" s="203"/>
    </row>
    <row r="2946" ht="12.75">
      <c r="A2946" s="203"/>
    </row>
    <row r="2947" ht="12.75">
      <c r="A2947" s="203"/>
    </row>
    <row r="2948" ht="12.75">
      <c r="A2948" s="203"/>
    </row>
    <row r="2949" ht="12.75">
      <c r="A2949" s="203"/>
    </row>
    <row r="2950" ht="12.75">
      <c r="A2950" s="203"/>
    </row>
    <row r="2951" ht="12.75">
      <c r="A2951" s="203"/>
    </row>
    <row r="2952" ht="12.75">
      <c r="A2952" s="203"/>
    </row>
    <row r="2953" ht="12.75">
      <c r="A2953" s="203"/>
    </row>
    <row r="2954" ht="12.75">
      <c r="A2954" s="203"/>
    </row>
    <row r="2955" ht="12.75">
      <c r="A2955" s="203"/>
    </row>
    <row r="2956" ht="12.75">
      <c r="A2956" s="203"/>
    </row>
    <row r="2957" ht="12.75">
      <c r="A2957" s="203"/>
    </row>
    <row r="2958" ht="12.75">
      <c r="A2958" s="203"/>
    </row>
    <row r="2959" ht="12.75">
      <c r="A2959" s="203"/>
    </row>
    <row r="2960" ht="12.75">
      <c r="A2960" s="203"/>
    </row>
    <row r="2961" ht="12.75">
      <c r="A2961" s="203"/>
    </row>
    <row r="2962" ht="12.75">
      <c r="A2962" s="203"/>
    </row>
    <row r="2963" ht="12.75">
      <c r="A2963" s="203"/>
    </row>
    <row r="2964" ht="12.75">
      <c r="A2964" s="203"/>
    </row>
    <row r="2965" ht="12.75">
      <c r="A2965" s="203"/>
    </row>
    <row r="2966" ht="12.75">
      <c r="A2966" s="203"/>
    </row>
    <row r="2967" ht="12.75">
      <c r="A2967" s="203"/>
    </row>
    <row r="2968" ht="12.75">
      <c r="A2968" s="203"/>
    </row>
    <row r="2969" ht="12.75">
      <c r="A2969" s="203"/>
    </row>
    <row r="2970" ht="12.75">
      <c r="A2970" s="203"/>
    </row>
    <row r="2971" ht="12.75">
      <c r="A2971" s="203"/>
    </row>
    <row r="2972" ht="12.75">
      <c r="A2972" s="203"/>
    </row>
    <row r="2973" ht="12.75">
      <c r="A2973" s="203"/>
    </row>
    <row r="2974" ht="12.75">
      <c r="A2974" s="203"/>
    </row>
    <row r="2975" ht="12.75">
      <c r="A2975" s="203"/>
    </row>
    <row r="2976" ht="12.75">
      <c r="A2976" s="203"/>
    </row>
    <row r="2977" ht="12.75">
      <c r="A2977" s="203"/>
    </row>
    <row r="2978" ht="12.75">
      <c r="A2978" s="203"/>
    </row>
    <row r="2979" ht="12.75">
      <c r="A2979" s="203"/>
    </row>
    <row r="2980" ht="12.75">
      <c r="A2980" s="203"/>
    </row>
    <row r="2981" ht="12.75">
      <c r="A2981" s="203"/>
    </row>
    <row r="2982" ht="12.75">
      <c r="A2982" s="203"/>
    </row>
    <row r="2983" ht="12.75">
      <c r="A2983" s="203"/>
    </row>
    <row r="2984" ht="12.75">
      <c r="A2984" s="203"/>
    </row>
    <row r="2985" ht="12.75">
      <c r="A2985" s="203"/>
    </row>
    <row r="2986" ht="12.75">
      <c r="A2986" s="203"/>
    </row>
    <row r="2987" ht="12.75">
      <c r="A2987" s="203"/>
    </row>
    <row r="2988" ht="12.75">
      <c r="A2988" s="203"/>
    </row>
    <row r="2989" ht="12.75">
      <c r="A2989" s="203"/>
    </row>
    <row r="2990" ht="12.75">
      <c r="A2990" s="203"/>
    </row>
    <row r="2991" ht="12.75">
      <c r="A2991" s="203"/>
    </row>
    <row r="2992" ht="12.75">
      <c r="A2992" s="203"/>
    </row>
    <row r="2993" ht="12.75">
      <c r="A2993" s="203"/>
    </row>
    <row r="2994" ht="12.75">
      <c r="A2994" s="203"/>
    </row>
    <row r="2995" ht="12.75">
      <c r="A2995" s="203"/>
    </row>
    <row r="2996" ht="12.75">
      <c r="A2996" s="203"/>
    </row>
    <row r="2997" ht="12.75">
      <c r="A2997" s="203"/>
    </row>
    <row r="2998" ht="12.75">
      <c r="A2998" s="203"/>
    </row>
    <row r="2999" ht="12.75">
      <c r="A2999" s="203"/>
    </row>
    <row r="3000" ht="12.75">
      <c r="A3000" s="203"/>
    </row>
    <row r="3001" ht="12.75">
      <c r="A3001" s="203"/>
    </row>
    <row r="3002" ht="12.75">
      <c r="A3002" s="203"/>
    </row>
    <row r="3003" ht="12.75">
      <c r="A3003" s="203"/>
    </row>
    <row r="3004" ht="12.75">
      <c r="A3004" s="203"/>
    </row>
    <row r="3005" ht="12.75">
      <c r="A3005" s="203"/>
    </row>
    <row r="3006" ht="12.75">
      <c r="A3006" s="203"/>
    </row>
    <row r="3007" ht="12.75">
      <c r="A3007" s="203"/>
    </row>
    <row r="3008" ht="12.75">
      <c r="A3008" s="203"/>
    </row>
    <row r="3009" ht="12.75">
      <c r="A3009" s="203"/>
    </row>
    <row r="3010" ht="12.75">
      <c r="A3010" s="203"/>
    </row>
    <row r="3011" ht="12.75">
      <c r="A3011" s="203"/>
    </row>
    <row r="3012" ht="12.75">
      <c r="A3012" s="203"/>
    </row>
    <row r="3013" ht="12.75">
      <c r="A3013" s="203"/>
    </row>
    <row r="3014" ht="12.75">
      <c r="A3014" s="203"/>
    </row>
    <row r="3015" ht="12.75">
      <c r="A3015" s="203"/>
    </row>
    <row r="3016" ht="12.75">
      <c r="A3016" s="203"/>
    </row>
    <row r="3017" ht="12.75">
      <c r="A3017" s="203"/>
    </row>
    <row r="3018" ht="12.75">
      <c r="A3018" s="203"/>
    </row>
    <row r="3019" ht="12.75">
      <c r="A3019" s="203"/>
    </row>
    <row r="3020" ht="12.75">
      <c r="A3020" s="203"/>
    </row>
    <row r="3021" ht="12.75">
      <c r="A3021" s="203"/>
    </row>
    <row r="3022" ht="12.75">
      <c r="A3022" s="203"/>
    </row>
    <row r="3023" ht="12.75">
      <c r="A3023" s="203"/>
    </row>
    <row r="3024" ht="12.75">
      <c r="A3024" s="203"/>
    </row>
    <row r="3025" ht="12.75">
      <c r="A3025" s="203"/>
    </row>
    <row r="3026" ht="12.75">
      <c r="A3026" s="203"/>
    </row>
    <row r="3027" ht="12.75">
      <c r="A3027" s="203"/>
    </row>
    <row r="3028" ht="12.75">
      <c r="A3028" s="203"/>
    </row>
    <row r="3029" ht="12.75">
      <c r="A3029" s="203"/>
    </row>
    <row r="3030" ht="12.75">
      <c r="A3030" s="203"/>
    </row>
    <row r="3031" ht="12.75">
      <c r="A3031" s="203"/>
    </row>
    <row r="3032" ht="12.75">
      <c r="A3032" s="203"/>
    </row>
    <row r="3033" ht="12.75">
      <c r="A3033" s="203"/>
    </row>
    <row r="3034" ht="12.75">
      <c r="A3034" s="203"/>
    </row>
    <row r="3035" ht="12.75">
      <c r="A3035" s="203"/>
    </row>
    <row r="3036" ht="12.75">
      <c r="A3036" s="203"/>
    </row>
    <row r="3037" ht="12.75">
      <c r="A3037" s="203"/>
    </row>
    <row r="3038" ht="12.75">
      <c r="A3038" s="203"/>
    </row>
    <row r="3039" ht="12.75">
      <c r="A3039" s="203"/>
    </row>
    <row r="3040" ht="12.75">
      <c r="A3040" s="203"/>
    </row>
    <row r="3041" ht="12.75">
      <c r="A3041" s="203"/>
    </row>
    <row r="3042" ht="12.75">
      <c r="A3042" s="203"/>
    </row>
    <row r="3043" ht="12.75">
      <c r="A3043" s="203"/>
    </row>
    <row r="3044" ht="12.75">
      <c r="A3044" s="203"/>
    </row>
    <row r="3045" ht="12.75">
      <c r="A3045" s="203"/>
    </row>
    <row r="3046" ht="12.75">
      <c r="A3046" s="203"/>
    </row>
    <row r="3047" ht="12.75">
      <c r="A3047" s="203"/>
    </row>
    <row r="3048" ht="12.75">
      <c r="A3048" s="203"/>
    </row>
    <row r="3049" ht="12.75">
      <c r="A3049" s="203"/>
    </row>
    <row r="3050" ht="12.75">
      <c r="A3050" s="203"/>
    </row>
    <row r="3051" ht="12.75">
      <c r="A3051" s="203"/>
    </row>
    <row r="3052" ht="12.75">
      <c r="A3052" s="203"/>
    </row>
    <row r="3053" ht="12.75">
      <c r="A3053" s="203"/>
    </row>
    <row r="3054" ht="12.75">
      <c r="A3054" s="203"/>
    </row>
    <row r="3055" ht="12.75">
      <c r="A3055" s="203"/>
    </row>
    <row r="3056" ht="12.75">
      <c r="A3056" s="203"/>
    </row>
    <row r="3057" ht="12.75">
      <c r="A3057" s="203"/>
    </row>
    <row r="3058" ht="12.75">
      <c r="A3058" s="203"/>
    </row>
    <row r="3059" ht="12.75">
      <c r="A3059" s="203"/>
    </row>
    <row r="3060" ht="12.75">
      <c r="A3060" s="203"/>
    </row>
    <row r="3061" ht="12.75">
      <c r="A3061" s="203"/>
    </row>
    <row r="3062" ht="12.75">
      <c r="A3062" s="203"/>
    </row>
    <row r="3063" ht="12.75">
      <c r="A3063" s="203"/>
    </row>
    <row r="3064" ht="12.75">
      <c r="A3064" s="203"/>
    </row>
    <row r="3065" ht="12.75">
      <c r="A3065" s="203"/>
    </row>
    <row r="3066" ht="12.75">
      <c r="A3066" s="203"/>
    </row>
    <row r="3067" ht="12.75">
      <c r="A3067" s="203"/>
    </row>
    <row r="3068" ht="12.75">
      <c r="A3068" s="203"/>
    </row>
    <row r="3069" ht="12.75">
      <c r="A3069" s="203"/>
    </row>
    <row r="3070" ht="12.75">
      <c r="A3070" s="203"/>
    </row>
    <row r="3071" ht="12.75">
      <c r="A3071" s="203"/>
    </row>
    <row r="3072" ht="12.75">
      <c r="A3072" s="203"/>
    </row>
    <row r="3073" ht="12.75">
      <c r="A3073" s="203"/>
    </row>
    <row r="3074" ht="12.75">
      <c r="A3074" s="203"/>
    </row>
    <row r="3075" ht="12.75">
      <c r="A3075" s="203"/>
    </row>
    <row r="3076" ht="12.75">
      <c r="A3076" s="203"/>
    </row>
    <row r="3077" ht="12.75">
      <c r="A3077" s="203"/>
    </row>
    <row r="3078" ht="12.75">
      <c r="A3078" s="203"/>
    </row>
    <row r="3079" ht="12.75">
      <c r="A3079" s="203"/>
    </row>
    <row r="3080" ht="12.75">
      <c r="A3080" s="203"/>
    </row>
    <row r="3081" ht="12.75">
      <c r="A3081" s="203"/>
    </row>
    <row r="3082" ht="12.75">
      <c r="A3082" s="203"/>
    </row>
    <row r="3083" ht="12.75">
      <c r="A3083" s="203"/>
    </row>
    <row r="3084" ht="12.75">
      <c r="A3084" s="203"/>
    </row>
    <row r="3085" ht="12.75">
      <c r="A3085" s="203"/>
    </row>
    <row r="3086" ht="12.75">
      <c r="A3086" s="203"/>
    </row>
    <row r="3087" ht="12.75">
      <c r="A3087" s="203"/>
    </row>
    <row r="3088" ht="12.75">
      <c r="A3088" s="203"/>
    </row>
    <row r="3089" ht="12.75">
      <c r="A3089" s="203"/>
    </row>
    <row r="3090" ht="12.75">
      <c r="A3090" s="203"/>
    </row>
    <row r="3091" ht="12.75">
      <c r="A3091" s="203"/>
    </row>
    <row r="3092" ht="12.75">
      <c r="A3092" s="203"/>
    </row>
    <row r="3093" ht="12.75">
      <c r="A3093" s="203"/>
    </row>
    <row r="3094" ht="12.75">
      <c r="A3094" s="203"/>
    </row>
    <row r="3095" ht="12.75">
      <c r="A3095" s="203"/>
    </row>
    <row r="3096" ht="12.75">
      <c r="A3096" s="203"/>
    </row>
    <row r="3097" ht="12.75">
      <c r="A3097" s="203"/>
    </row>
    <row r="3098" ht="12.75">
      <c r="A3098" s="203"/>
    </row>
    <row r="3099" ht="12.75">
      <c r="A3099" s="203"/>
    </row>
    <row r="3100" ht="12.75">
      <c r="A3100" s="203"/>
    </row>
    <row r="3101" ht="12.75">
      <c r="A3101" s="203"/>
    </row>
    <row r="3102" ht="12.75">
      <c r="A3102" s="203"/>
    </row>
    <row r="3103" ht="12.75">
      <c r="A3103" s="203"/>
    </row>
    <row r="3104" ht="12.75">
      <c r="A3104" s="203"/>
    </row>
    <row r="3105" ht="12.75">
      <c r="A3105" s="203"/>
    </row>
    <row r="3106" ht="12.75">
      <c r="A3106" s="203"/>
    </row>
    <row r="3107" ht="12.75">
      <c r="A3107" s="203"/>
    </row>
    <row r="3108" ht="12.75">
      <c r="A3108" s="203"/>
    </row>
    <row r="3109" ht="12.75">
      <c r="A3109" s="203"/>
    </row>
    <row r="3110" ht="12.75">
      <c r="A3110" s="203"/>
    </row>
    <row r="3111" ht="12.75">
      <c r="A3111" s="203"/>
    </row>
    <row r="3112" ht="12.75">
      <c r="A3112" s="203"/>
    </row>
    <row r="3113" ht="12.75">
      <c r="A3113" s="203"/>
    </row>
    <row r="3114" ht="12.75">
      <c r="A3114" s="203"/>
    </row>
    <row r="3115" ht="12.75">
      <c r="A3115" s="203"/>
    </row>
    <row r="3116" ht="12.75">
      <c r="A3116" s="203"/>
    </row>
    <row r="3117" ht="12.75">
      <c r="A3117" s="203"/>
    </row>
    <row r="3118" ht="12.75">
      <c r="A3118" s="203"/>
    </row>
    <row r="3119" ht="12.75">
      <c r="A3119" s="203"/>
    </row>
    <row r="3120" ht="12.75">
      <c r="A3120" s="203"/>
    </row>
    <row r="3121" ht="12.75">
      <c r="A3121" s="203"/>
    </row>
    <row r="3122" ht="12.75">
      <c r="A3122" s="203"/>
    </row>
    <row r="3123" ht="12.75">
      <c r="A3123" s="203"/>
    </row>
    <row r="3124" ht="12.75">
      <c r="A3124" s="203"/>
    </row>
    <row r="3125" ht="12.75">
      <c r="A3125" s="203"/>
    </row>
    <row r="3126" ht="12.75">
      <c r="A3126" s="203"/>
    </row>
    <row r="3127" ht="12.75">
      <c r="A3127" s="203"/>
    </row>
    <row r="3128" ht="12.75">
      <c r="A3128" s="203"/>
    </row>
    <row r="3129" ht="12.75">
      <c r="A3129" s="203"/>
    </row>
    <row r="3130" ht="12.75">
      <c r="A3130" s="203"/>
    </row>
    <row r="3131" ht="12.75">
      <c r="A3131" s="203"/>
    </row>
    <row r="3132" ht="12.75">
      <c r="A3132" s="203"/>
    </row>
    <row r="3133" ht="12.75">
      <c r="A3133" s="203"/>
    </row>
    <row r="3134" ht="12.75">
      <c r="A3134" s="203"/>
    </row>
    <row r="3135" ht="12.75">
      <c r="A3135" s="203"/>
    </row>
    <row r="3136" ht="12.75">
      <c r="A3136" s="203"/>
    </row>
    <row r="3137" ht="12.75">
      <c r="A3137" s="203"/>
    </row>
    <row r="3138" ht="12.75">
      <c r="A3138" s="203"/>
    </row>
    <row r="3139" ht="12.75">
      <c r="A3139" s="203"/>
    </row>
    <row r="3140" ht="12.75">
      <c r="A3140" s="203"/>
    </row>
    <row r="3141" ht="12.75">
      <c r="A3141" s="203"/>
    </row>
    <row r="3142" ht="12.75">
      <c r="A3142" s="203"/>
    </row>
    <row r="3143" ht="12.75">
      <c r="A3143" s="203"/>
    </row>
    <row r="3144" ht="12.75">
      <c r="A3144" s="203"/>
    </row>
    <row r="3145" ht="12.75">
      <c r="A3145" s="203"/>
    </row>
    <row r="3146" ht="12.75">
      <c r="A3146" s="203"/>
    </row>
    <row r="3147" ht="12.75">
      <c r="A3147" s="203"/>
    </row>
    <row r="3148" ht="12.75">
      <c r="A3148" s="203"/>
    </row>
    <row r="3149" ht="12.75">
      <c r="A3149" s="203"/>
    </row>
    <row r="3150" ht="12.75">
      <c r="A3150" s="203"/>
    </row>
    <row r="3151" ht="12.75">
      <c r="A3151" s="203"/>
    </row>
    <row r="3152" ht="12.75">
      <c r="A3152" s="203"/>
    </row>
    <row r="3153" ht="12.75">
      <c r="A3153" s="203"/>
    </row>
    <row r="3154" ht="12.75">
      <c r="A3154" s="203"/>
    </row>
    <row r="3155" ht="12.75">
      <c r="A3155" s="203"/>
    </row>
    <row r="3156" ht="12.75">
      <c r="A3156" s="203"/>
    </row>
    <row r="3157" ht="12.75">
      <c r="A3157" s="203"/>
    </row>
    <row r="3158" ht="12.75">
      <c r="A3158" s="203"/>
    </row>
    <row r="3159" ht="12.75">
      <c r="A3159" s="203"/>
    </row>
    <row r="3160" ht="12.75">
      <c r="A3160" s="203"/>
    </row>
    <row r="3161" ht="12.75">
      <c r="A3161" s="203"/>
    </row>
    <row r="3162" ht="12.75">
      <c r="A3162" s="203"/>
    </row>
    <row r="3163" ht="12.75">
      <c r="A3163" s="203"/>
    </row>
    <row r="3164" ht="12.75">
      <c r="A3164" s="203"/>
    </row>
    <row r="3165" ht="12.75">
      <c r="A3165" s="203"/>
    </row>
    <row r="3166" ht="12.75">
      <c r="A3166" s="203"/>
    </row>
    <row r="3167" ht="12.75">
      <c r="A3167" s="203"/>
    </row>
    <row r="3168" ht="12.75">
      <c r="A3168" s="203"/>
    </row>
    <row r="3169" ht="12.75">
      <c r="A3169" s="203"/>
    </row>
    <row r="3170" ht="12.75">
      <c r="A3170" s="203"/>
    </row>
    <row r="3171" ht="12.75">
      <c r="A3171" s="203"/>
    </row>
    <row r="3172" ht="12.75">
      <c r="A3172" s="203"/>
    </row>
    <row r="3173" ht="12.75">
      <c r="A3173" s="203"/>
    </row>
    <row r="3174" ht="12.75">
      <c r="A3174" s="203"/>
    </row>
    <row r="3175" ht="12.75">
      <c r="A3175" s="203"/>
    </row>
    <row r="3176" ht="12.75">
      <c r="A3176" s="203"/>
    </row>
    <row r="3177" ht="12.75">
      <c r="A3177" s="203"/>
    </row>
    <row r="3178" ht="12.75">
      <c r="A3178" s="203"/>
    </row>
    <row r="3179" ht="12.75">
      <c r="A3179" s="203"/>
    </row>
    <row r="3180" ht="12.75">
      <c r="A3180" s="203"/>
    </row>
    <row r="3181" ht="12.75">
      <c r="A3181" s="203"/>
    </row>
    <row r="3182" ht="12.75">
      <c r="A3182" s="203"/>
    </row>
    <row r="3183" ht="12.75">
      <c r="A3183" s="203"/>
    </row>
    <row r="3184" ht="12.75">
      <c r="A3184" s="203"/>
    </row>
    <row r="3185" ht="12.75">
      <c r="A3185" s="203"/>
    </row>
    <row r="3186" ht="12.75">
      <c r="A3186" s="203"/>
    </row>
    <row r="3187" ht="12.75">
      <c r="A3187" s="203"/>
    </row>
    <row r="3188" ht="12.75">
      <c r="A3188" s="203"/>
    </row>
    <row r="3189" ht="12.75">
      <c r="A3189" s="203"/>
    </row>
    <row r="3190" ht="12.75">
      <c r="A3190" s="203"/>
    </row>
    <row r="3191" ht="12.75">
      <c r="A3191" s="203"/>
    </row>
    <row r="3192" ht="12.75">
      <c r="A3192" s="203"/>
    </row>
    <row r="3193" ht="12.75">
      <c r="A3193" s="203"/>
    </row>
    <row r="3194" ht="12.75">
      <c r="A3194" s="203"/>
    </row>
    <row r="3195" ht="12.75">
      <c r="A3195" s="203"/>
    </row>
    <row r="3196" ht="12.75">
      <c r="A3196" s="203"/>
    </row>
    <row r="3197" ht="12.75">
      <c r="A3197" s="203"/>
    </row>
    <row r="3198" ht="12.75">
      <c r="A3198" s="203"/>
    </row>
    <row r="3199" ht="12.75">
      <c r="A3199" s="203"/>
    </row>
    <row r="3200" ht="12.75">
      <c r="A3200" s="203"/>
    </row>
    <row r="3201" ht="12.75">
      <c r="A3201" s="203"/>
    </row>
    <row r="3202" ht="12.75">
      <c r="A3202" s="203"/>
    </row>
    <row r="3203" ht="12.75">
      <c r="A3203" s="203"/>
    </row>
    <row r="3204" ht="12.75">
      <c r="A3204" s="203"/>
    </row>
    <row r="3205" ht="12.75">
      <c r="A3205" s="203"/>
    </row>
    <row r="3206" ht="12.75">
      <c r="A3206" s="203"/>
    </row>
    <row r="3207" ht="12.75">
      <c r="A3207" s="203"/>
    </row>
    <row r="3208" ht="12.75">
      <c r="A3208" s="203"/>
    </row>
    <row r="3209" ht="12.75">
      <c r="A3209" s="203"/>
    </row>
    <row r="3210" ht="12.75">
      <c r="A3210" s="203"/>
    </row>
    <row r="3211" ht="12.75">
      <c r="A3211" s="203"/>
    </row>
    <row r="3212" ht="12.75">
      <c r="A3212" s="203"/>
    </row>
    <row r="3213" ht="12.75">
      <c r="A3213" s="203"/>
    </row>
    <row r="3214" ht="12.75">
      <c r="A3214" s="203"/>
    </row>
    <row r="3215" ht="12.75">
      <c r="A3215" s="203"/>
    </row>
    <row r="3216" ht="12.75">
      <c r="A3216" s="203"/>
    </row>
    <row r="3217" ht="12.75">
      <c r="A3217" s="203"/>
    </row>
    <row r="3218" ht="12.75">
      <c r="A3218" s="203"/>
    </row>
    <row r="3219" ht="12.75">
      <c r="A3219" s="203"/>
    </row>
    <row r="3220" ht="12.75">
      <c r="A3220" s="203"/>
    </row>
    <row r="3221" ht="12.75">
      <c r="A3221" s="203"/>
    </row>
    <row r="3222" ht="12.75">
      <c r="A3222" s="203"/>
    </row>
    <row r="3223" ht="12.75">
      <c r="A3223" s="203"/>
    </row>
    <row r="3224" ht="12.75">
      <c r="A3224" s="203"/>
    </row>
    <row r="3225" ht="12.75">
      <c r="A3225" s="203"/>
    </row>
    <row r="3226" ht="12.75">
      <c r="A3226" s="203"/>
    </row>
    <row r="3227" ht="12.75">
      <c r="A3227" s="203"/>
    </row>
    <row r="3228" ht="12.75">
      <c r="A3228" s="203"/>
    </row>
    <row r="3229" ht="12.75">
      <c r="A3229" s="203"/>
    </row>
    <row r="3230" ht="12.75">
      <c r="A3230" s="203"/>
    </row>
    <row r="3231" ht="12.75">
      <c r="A3231" s="203"/>
    </row>
    <row r="3232" ht="12.75">
      <c r="A3232" s="203"/>
    </row>
    <row r="3233" ht="12.75">
      <c r="A3233" s="203"/>
    </row>
    <row r="3234" ht="12.75">
      <c r="A3234" s="203"/>
    </row>
    <row r="3235" ht="12.75">
      <c r="A3235" s="203"/>
    </row>
    <row r="3236" ht="12.75">
      <c r="A3236" s="203"/>
    </row>
    <row r="3237" ht="12.75">
      <c r="A3237" s="203"/>
    </row>
    <row r="3238" ht="12.75">
      <c r="A3238" s="203"/>
    </row>
    <row r="3239" ht="12.75">
      <c r="A3239" s="203"/>
    </row>
    <row r="3240" ht="12.75">
      <c r="A3240" s="203"/>
    </row>
    <row r="3241" ht="12.75">
      <c r="A3241" s="203"/>
    </row>
    <row r="3242" ht="12.75">
      <c r="A3242" s="203"/>
    </row>
    <row r="3243" ht="12.75">
      <c r="A3243" s="203"/>
    </row>
    <row r="3244" ht="12.75">
      <c r="A3244" s="203"/>
    </row>
    <row r="3245" ht="12.75">
      <c r="A3245" s="203"/>
    </row>
    <row r="3246" ht="12.75">
      <c r="A3246" s="203"/>
    </row>
    <row r="3247" ht="12.75">
      <c r="A3247" s="203"/>
    </row>
    <row r="3248" ht="12.75">
      <c r="A3248" s="203"/>
    </row>
    <row r="3249" ht="12.75">
      <c r="A3249" s="203"/>
    </row>
    <row r="3250" ht="12.75">
      <c r="A3250" s="203"/>
    </row>
    <row r="3251" ht="12.75">
      <c r="A3251" s="203"/>
    </row>
    <row r="3252" ht="12.75">
      <c r="A3252" s="203"/>
    </row>
    <row r="3253" ht="12.75">
      <c r="A3253" s="203"/>
    </row>
    <row r="3254" ht="12.75">
      <c r="A3254" s="203"/>
    </row>
    <row r="3255" ht="12.75">
      <c r="A3255" s="203"/>
    </row>
    <row r="3256" ht="12.75">
      <c r="A3256" s="203"/>
    </row>
    <row r="3257" ht="12.75">
      <c r="A3257" s="203"/>
    </row>
    <row r="3258" ht="12.75">
      <c r="A3258" s="203"/>
    </row>
    <row r="3259" ht="12.75">
      <c r="A3259" s="203"/>
    </row>
    <row r="3260" ht="12.75">
      <c r="A3260" s="203"/>
    </row>
    <row r="3261" ht="12.75">
      <c r="A3261" s="203"/>
    </row>
    <row r="3262" ht="12.75">
      <c r="A3262" s="203"/>
    </row>
    <row r="3263" ht="12.75">
      <c r="A3263" s="203"/>
    </row>
    <row r="3264" ht="12.75">
      <c r="A3264" s="203"/>
    </row>
    <row r="3265" ht="12.75">
      <c r="A3265" s="203"/>
    </row>
    <row r="3266" ht="12.75">
      <c r="A3266" s="203"/>
    </row>
    <row r="3267" ht="12.75">
      <c r="A3267" s="203"/>
    </row>
    <row r="3268" ht="12.75">
      <c r="A3268" s="203"/>
    </row>
    <row r="3269" ht="12.75">
      <c r="A3269" s="203"/>
    </row>
    <row r="3270" ht="12.75">
      <c r="A3270" s="203"/>
    </row>
    <row r="3271" ht="12.75">
      <c r="A3271" s="203"/>
    </row>
    <row r="3272" ht="12.75">
      <c r="A3272" s="203"/>
    </row>
    <row r="3273" ht="12.75">
      <c r="A3273" s="203"/>
    </row>
    <row r="3274" ht="12.75">
      <c r="A3274" s="203"/>
    </row>
    <row r="3275" ht="12.75">
      <c r="A3275" s="203"/>
    </row>
    <row r="3276" ht="12.75">
      <c r="A3276" s="203"/>
    </row>
    <row r="3277" ht="12.75">
      <c r="A3277" s="203"/>
    </row>
    <row r="3278" ht="12.75">
      <c r="A3278" s="203"/>
    </row>
    <row r="3279" ht="12.75">
      <c r="A3279" s="203"/>
    </row>
    <row r="3280" ht="12.75">
      <c r="A3280" s="203"/>
    </row>
    <row r="3281" ht="12.75">
      <c r="A3281" s="203"/>
    </row>
    <row r="3282" ht="12.75">
      <c r="A3282" s="203"/>
    </row>
    <row r="3283" ht="12.75">
      <c r="A3283" s="203"/>
    </row>
    <row r="3284" ht="12.75">
      <c r="A3284" s="203"/>
    </row>
    <row r="3285" ht="12.75">
      <c r="A3285" s="203"/>
    </row>
    <row r="3286" ht="12.75">
      <c r="A3286" s="203"/>
    </row>
    <row r="3287" ht="12.75">
      <c r="A3287" s="203"/>
    </row>
    <row r="3288" ht="12.75">
      <c r="A3288" s="203"/>
    </row>
    <row r="3289" ht="12.75">
      <c r="A3289" s="203"/>
    </row>
    <row r="3290" ht="12.75">
      <c r="A3290" s="203"/>
    </row>
    <row r="3291" ht="12.75">
      <c r="A3291" s="203"/>
    </row>
    <row r="3292" ht="12.75">
      <c r="A3292" s="203"/>
    </row>
    <row r="3293" ht="12.75">
      <c r="A3293" s="203"/>
    </row>
    <row r="3294" ht="12.75">
      <c r="A3294" s="203"/>
    </row>
    <row r="3295" ht="12.75">
      <c r="A3295" s="203"/>
    </row>
    <row r="3296" ht="12.75">
      <c r="A3296" s="203"/>
    </row>
    <row r="3297" ht="12.75">
      <c r="A3297" s="203"/>
    </row>
    <row r="3298" ht="12.75">
      <c r="A3298" s="203"/>
    </row>
    <row r="3299" ht="12.75">
      <c r="A3299" s="203"/>
    </row>
    <row r="3300" ht="12.75">
      <c r="A3300" s="203"/>
    </row>
    <row r="3301" ht="12.75">
      <c r="A3301" s="203"/>
    </row>
    <row r="3302" ht="12.75">
      <c r="A3302" s="203"/>
    </row>
    <row r="3303" ht="12.75">
      <c r="A3303" s="203"/>
    </row>
    <row r="3304" ht="12.75">
      <c r="A3304" s="203"/>
    </row>
    <row r="3305" ht="12.75">
      <c r="A3305" s="203"/>
    </row>
    <row r="3306" ht="12.75">
      <c r="A3306" s="203"/>
    </row>
    <row r="3307" ht="12.75">
      <c r="A3307" s="203"/>
    </row>
    <row r="3308" ht="12.75">
      <c r="A3308" s="203"/>
    </row>
    <row r="3309" ht="12.75">
      <c r="A3309" s="203"/>
    </row>
    <row r="3310" ht="12.75">
      <c r="A3310" s="203"/>
    </row>
    <row r="3311" ht="12.75">
      <c r="A3311" s="203"/>
    </row>
    <row r="3312" ht="12.75">
      <c r="A3312" s="203"/>
    </row>
    <row r="3313" ht="12.75">
      <c r="A3313" s="203"/>
    </row>
    <row r="3314" ht="12.75">
      <c r="A3314" s="203"/>
    </row>
    <row r="3315" ht="12.75">
      <c r="A3315" s="203"/>
    </row>
    <row r="3316" ht="12.75">
      <c r="A3316" s="203"/>
    </row>
    <row r="3317" ht="12.75">
      <c r="A3317" s="203"/>
    </row>
    <row r="3318" ht="12.75">
      <c r="A3318" s="203"/>
    </row>
    <row r="3319" ht="12.75">
      <c r="A3319" s="203"/>
    </row>
    <row r="3320" ht="12.75">
      <c r="A3320" s="203"/>
    </row>
    <row r="3321" ht="12.75">
      <c r="A3321" s="203"/>
    </row>
    <row r="3322" ht="12.75">
      <c r="A3322" s="203"/>
    </row>
    <row r="3323" ht="12.75">
      <c r="A3323" s="203"/>
    </row>
    <row r="3324" ht="12.75">
      <c r="A3324" s="203"/>
    </row>
    <row r="3325" ht="12.75">
      <c r="A3325" s="203"/>
    </row>
    <row r="3326" ht="12.75">
      <c r="A3326" s="203"/>
    </row>
    <row r="3327" ht="12.75">
      <c r="A3327" s="203"/>
    </row>
    <row r="3328" ht="12.75">
      <c r="A3328" s="203"/>
    </row>
    <row r="3329" ht="12.75">
      <c r="A3329" s="203"/>
    </row>
    <row r="3330" ht="12.75">
      <c r="A3330" s="203"/>
    </row>
    <row r="3331" ht="12.75">
      <c r="A3331" s="203"/>
    </row>
    <row r="3332" ht="12.75">
      <c r="A3332" s="203"/>
    </row>
    <row r="3333" ht="12.75">
      <c r="A3333" s="203"/>
    </row>
    <row r="3334" ht="12.75">
      <c r="A3334" s="203"/>
    </row>
    <row r="3335" ht="12.75">
      <c r="A3335" s="203"/>
    </row>
    <row r="3336" ht="12.75">
      <c r="A3336" s="203"/>
    </row>
    <row r="3337" ht="12.75">
      <c r="A3337" s="203"/>
    </row>
    <row r="3338" ht="12.75">
      <c r="A3338" s="203"/>
    </row>
    <row r="3339" ht="12.75">
      <c r="A3339" s="203"/>
    </row>
    <row r="3340" ht="12.75">
      <c r="A3340" s="203"/>
    </row>
    <row r="3341" ht="12.75">
      <c r="A3341" s="203"/>
    </row>
    <row r="3342" ht="12.75">
      <c r="A3342" s="203"/>
    </row>
    <row r="3343" ht="12.75">
      <c r="A3343" s="203"/>
    </row>
    <row r="3344" ht="12.75">
      <c r="A3344" s="203"/>
    </row>
    <row r="3345" ht="12.75">
      <c r="A3345" s="203"/>
    </row>
    <row r="3346" ht="12.75">
      <c r="A3346" s="203"/>
    </row>
    <row r="3347" ht="12.75">
      <c r="A3347" s="203"/>
    </row>
    <row r="3348" ht="12.75">
      <c r="A3348" s="203"/>
    </row>
    <row r="3349" ht="12.75">
      <c r="A3349" s="203"/>
    </row>
    <row r="3350" ht="12.75">
      <c r="A3350" s="203"/>
    </row>
    <row r="3351" ht="12.75">
      <c r="A3351" s="203"/>
    </row>
    <row r="3352" ht="12.75">
      <c r="A3352" s="203"/>
    </row>
    <row r="3353" ht="12.75">
      <c r="A3353" s="203"/>
    </row>
    <row r="3354" ht="12.75">
      <c r="A3354" s="203"/>
    </row>
    <row r="3355" ht="12.75">
      <c r="A3355" s="203"/>
    </row>
    <row r="3356" ht="12.75">
      <c r="A3356" s="203"/>
    </row>
    <row r="3357" ht="12.75">
      <c r="A3357" s="203"/>
    </row>
    <row r="3358" ht="12.75">
      <c r="A3358" s="203"/>
    </row>
    <row r="3359" ht="12.75">
      <c r="A3359" s="203"/>
    </row>
    <row r="3360" ht="12.75">
      <c r="A3360" s="203"/>
    </row>
    <row r="3361" ht="12.75">
      <c r="A3361" s="203"/>
    </row>
    <row r="3362" ht="12.75">
      <c r="A3362" s="203"/>
    </row>
    <row r="3363" ht="12.75">
      <c r="A3363" s="203"/>
    </row>
    <row r="3364" ht="12.75">
      <c r="A3364" s="203"/>
    </row>
    <row r="3365" ht="12.75">
      <c r="A3365" s="203"/>
    </row>
    <row r="3366" ht="12.75">
      <c r="A3366" s="203"/>
    </row>
    <row r="3367" ht="12.75">
      <c r="A3367" s="203"/>
    </row>
    <row r="3368" ht="12.75">
      <c r="A3368" s="203"/>
    </row>
    <row r="3369" ht="12.75">
      <c r="A3369" s="203"/>
    </row>
    <row r="3370" ht="12.75">
      <c r="A3370" s="203"/>
    </row>
    <row r="3371" ht="12.75">
      <c r="A3371" s="203"/>
    </row>
    <row r="3372" ht="12.75">
      <c r="A3372" s="203"/>
    </row>
    <row r="3373" ht="12.75">
      <c r="A3373" s="203"/>
    </row>
    <row r="3374" ht="12.75">
      <c r="A3374" s="203"/>
    </row>
    <row r="3375" ht="12.75">
      <c r="A3375" s="203"/>
    </row>
    <row r="3376" ht="12.75">
      <c r="A3376" s="203"/>
    </row>
    <row r="3377" ht="12.75">
      <c r="A3377" s="203"/>
    </row>
    <row r="3378" ht="12.75">
      <c r="A3378" s="203"/>
    </row>
    <row r="3379" ht="12.75">
      <c r="A3379" s="203"/>
    </row>
    <row r="3380" ht="12.75">
      <c r="A3380" s="203"/>
    </row>
    <row r="3381" ht="12.75">
      <c r="A3381" s="203"/>
    </row>
    <row r="3382" ht="12.75">
      <c r="A3382" s="203"/>
    </row>
    <row r="3383" ht="12.75">
      <c r="A3383" s="203"/>
    </row>
    <row r="3384" ht="12.75">
      <c r="A3384" s="203"/>
    </row>
    <row r="3385" ht="12.75">
      <c r="A3385" s="203"/>
    </row>
    <row r="3386" ht="12.75">
      <c r="A3386" s="203"/>
    </row>
    <row r="3387" ht="12.75">
      <c r="A3387" s="203"/>
    </row>
    <row r="3388" ht="12.75">
      <c r="A3388" s="203"/>
    </row>
    <row r="3389" ht="12.75">
      <c r="A3389" s="203"/>
    </row>
    <row r="3390" ht="12.75">
      <c r="A3390" s="203"/>
    </row>
    <row r="3391" ht="12.75">
      <c r="A3391" s="203"/>
    </row>
    <row r="3392" ht="12.75">
      <c r="A3392" s="203"/>
    </row>
    <row r="3393" ht="12.75">
      <c r="A3393" s="203"/>
    </row>
    <row r="3394" ht="12.75">
      <c r="A3394" s="203"/>
    </row>
    <row r="3395" ht="12.75">
      <c r="A3395" s="203"/>
    </row>
    <row r="3396" ht="12.75">
      <c r="A3396" s="203"/>
    </row>
    <row r="3397" ht="12.75">
      <c r="A3397" s="203"/>
    </row>
    <row r="3398" ht="12.75">
      <c r="A3398" s="203"/>
    </row>
    <row r="3399" ht="12.75">
      <c r="A3399" s="203"/>
    </row>
    <row r="3400" ht="12.75">
      <c r="A3400" s="203"/>
    </row>
    <row r="3401" ht="12.75">
      <c r="A3401" s="203"/>
    </row>
    <row r="3402" ht="12.75">
      <c r="A3402" s="203"/>
    </row>
    <row r="3403" ht="12.75">
      <c r="A3403" s="203"/>
    </row>
    <row r="3404" ht="12.75">
      <c r="A3404" s="203"/>
    </row>
    <row r="3405" ht="12.75">
      <c r="A3405" s="203"/>
    </row>
    <row r="3406" ht="12.75">
      <c r="A3406" s="203"/>
    </row>
    <row r="3407" ht="12.75">
      <c r="A3407" s="203"/>
    </row>
    <row r="3408" ht="12.75">
      <c r="A3408" s="203"/>
    </row>
    <row r="3409" ht="12.75">
      <c r="A3409" s="203"/>
    </row>
    <row r="3410" ht="12.75">
      <c r="A3410" s="203"/>
    </row>
    <row r="3411" ht="12.75">
      <c r="A3411" s="203"/>
    </row>
    <row r="3412" ht="12.75">
      <c r="A3412" s="203"/>
    </row>
    <row r="3413" ht="12.75">
      <c r="A3413" s="203"/>
    </row>
    <row r="3414" ht="12.75">
      <c r="A3414" s="203"/>
    </row>
    <row r="3415" ht="12.75">
      <c r="A3415" s="203"/>
    </row>
    <row r="3416" ht="12.75">
      <c r="A3416" s="203"/>
    </row>
    <row r="3417" ht="12.75">
      <c r="A3417" s="203"/>
    </row>
    <row r="3418" ht="12.75">
      <c r="A3418" s="203"/>
    </row>
    <row r="3419" ht="12.75">
      <c r="A3419" s="203"/>
    </row>
    <row r="3420" ht="12.75">
      <c r="A3420" s="203"/>
    </row>
    <row r="3421" ht="12.75">
      <c r="A3421" s="203"/>
    </row>
    <row r="3422" ht="12.75">
      <c r="A3422" s="203"/>
    </row>
    <row r="3423" ht="12.75">
      <c r="A3423" s="203"/>
    </row>
    <row r="3424" ht="12.75">
      <c r="A3424" s="203"/>
    </row>
    <row r="3425" ht="12.75">
      <c r="A3425" s="203"/>
    </row>
    <row r="3426" ht="12.75">
      <c r="A3426" s="203"/>
    </row>
    <row r="3427" ht="12.75">
      <c r="A3427" s="203"/>
    </row>
    <row r="3428" ht="12.75">
      <c r="A3428" s="203"/>
    </row>
    <row r="3429" ht="12.75">
      <c r="A3429" s="203"/>
    </row>
    <row r="3430" ht="12.75">
      <c r="A3430" s="203"/>
    </row>
    <row r="3431" ht="12.75">
      <c r="A3431" s="203"/>
    </row>
    <row r="3432" ht="12.75">
      <c r="A3432" s="203"/>
    </row>
    <row r="3433" ht="12.75">
      <c r="A3433" s="203"/>
    </row>
    <row r="3434" ht="12.75">
      <c r="A3434" s="203"/>
    </row>
    <row r="3435" ht="12.75">
      <c r="A3435" s="203"/>
    </row>
    <row r="3436" ht="12.75">
      <c r="A3436" s="203"/>
    </row>
    <row r="3437" ht="12.75">
      <c r="A3437" s="203"/>
    </row>
    <row r="3438" ht="12.75">
      <c r="A3438" s="203"/>
    </row>
    <row r="3439" ht="12.75">
      <c r="A3439" s="203"/>
    </row>
    <row r="3440" ht="12.75">
      <c r="A3440" s="203"/>
    </row>
    <row r="3441" ht="12.75">
      <c r="A3441" s="203"/>
    </row>
    <row r="3442" ht="12.75">
      <c r="A3442" s="203"/>
    </row>
    <row r="3443" ht="12.75">
      <c r="A3443" s="203"/>
    </row>
    <row r="3444" ht="12.75">
      <c r="A3444" s="203"/>
    </row>
    <row r="3445" ht="12.75">
      <c r="A3445" s="203"/>
    </row>
    <row r="3446" ht="12.75">
      <c r="A3446" s="203"/>
    </row>
    <row r="3447" ht="12.75">
      <c r="A3447" s="203"/>
    </row>
    <row r="3448" ht="12.75">
      <c r="A3448" s="203"/>
    </row>
    <row r="3449" ht="12.75">
      <c r="A3449" s="203"/>
    </row>
    <row r="3450" ht="12.75">
      <c r="A3450" s="203"/>
    </row>
    <row r="3451" ht="12.75">
      <c r="A3451" s="203"/>
    </row>
    <row r="3452" ht="12.75">
      <c r="A3452" s="203"/>
    </row>
    <row r="3453" ht="12.75">
      <c r="A3453" s="203"/>
    </row>
    <row r="3454" ht="12.75">
      <c r="A3454" s="203"/>
    </row>
    <row r="3455" ht="12.75">
      <c r="A3455" s="203"/>
    </row>
    <row r="3456" ht="12.75">
      <c r="A3456" s="203"/>
    </row>
    <row r="3457" ht="12.75">
      <c r="A3457" s="203"/>
    </row>
    <row r="3458" ht="12.75">
      <c r="A3458" s="203"/>
    </row>
    <row r="3459" ht="12.75">
      <c r="A3459" s="203"/>
    </row>
    <row r="3460" ht="12.75">
      <c r="A3460" s="203"/>
    </row>
    <row r="3461" ht="12.75">
      <c r="A3461" s="203"/>
    </row>
    <row r="3462" ht="12.75">
      <c r="A3462" s="203"/>
    </row>
    <row r="3463" ht="12.75">
      <c r="A3463" s="203"/>
    </row>
    <row r="3464" ht="12.75">
      <c r="A3464" s="203"/>
    </row>
    <row r="3465" ht="12.75">
      <c r="A3465" s="203"/>
    </row>
    <row r="3466" ht="12.75">
      <c r="A3466" s="203"/>
    </row>
    <row r="3467" ht="12.75">
      <c r="A3467" s="203"/>
    </row>
    <row r="3468" ht="12.75">
      <c r="A3468" s="203"/>
    </row>
    <row r="3469" ht="12.75">
      <c r="A3469" s="203"/>
    </row>
    <row r="3470" ht="12.75">
      <c r="A3470" s="203"/>
    </row>
    <row r="3471" ht="12.75">
      <c r="A3471" s="203"/>
    </row>
    <row r="3472" ht="12.75">
      <c r="A3472" s="203"/>
    </row>
    <row r="3473" ht="12.75">
      <c r="A3473" s="203"/>
    </row>
    <row r="3474" ht="12.75">
      <c r="A3474" s="203"/>
    </row>
    <row r="3475" ht="12.75">
      <c r="A3475" s="203"/>
    </row>
    <row r="3476" ht="12.75">
      <c r="A3476" s="203"/>
    </row>
    <row r="3477" ht="12.75">
      <c r="A3477" s="203"/>
    </row>
    <row r="3478" ht="12.75">
      <c r="A3478" s="203"/>
    </row>
    <row r="3479" ht="12.75">
      <c r="A3479" s="203"/>
    </row>
    <row r="3480" ht="12.75">
      <c r="A3480" s="203"/>
    </row>
    <row r="3481" ht="12.75">
      <c r="A3481" s="203"/>
    </row>
    <row r="3482" ht="12.75">
      <c r="A3482" s="203"/>
    </row>
    <row r="3483" ht="12.75">
      <c r="A3483" s="203"/>
    </row>
    <row r="3484" ht="12.75">
      <c r="A3484" s="203"/>
    </row>
    <row r="3485" ht="12.75">
      <c r="A3485" s="203"/>
    </row>
    <row r="3486" ht="12.75">
      <c r="A3486" s="203"/>
    </row>
    <row r="3487" ht="12.75">
      <c r="A3487" s="203"/>
    </row>
    <row r="3488" ht="12.75">
      <c r="A3488" s="203"/>
    </row>
    <row r="3489" ht="12.75">
      <c r="A3489" s="203"/>
    </row>
    <row r="3490" ht="12.75">
      <c r="A3490" s="203"/>
    </row>
    <row r="3491" ht="12.75">
      <c r="A3491" s="203"/>
    </row>
    <row r="3492" ht="12.75">
      <c r="A3492" s="203"/>
    </row>
    <row r="3493" ht="12.75">
      <c r="A3493" s="203"/>
    </row>
    <row r="3494" ht="12.75">
      <c r="A3494" s="203"/>
    </row>
    <row r="3495" ht="12.75">
      <c r="A3495" s="203"/>
    </row>
    <row r="3496" ht="12.75">
      <c r="A3496" s="203"/>
    </row>
    <row r="3497" ht="12.75">
      <c r="A3497" s="203"/>
    </row>
    <row r="3498" ht="12.75">
      <c r="A3498" s="203"/>
    </row>
    <row r="3499" ht="12.75">
      <c r="A3499" s="203"/>
    </row>
    <row r="3500" ht="12.75">
      <c r="A3500" s="203"/>
    </row>
    <row r="3501" ht="12.75">
      <c r="A3501" s="203"/>
    </row>
    <row r="3502" ht="12.75">
      <c r="A3502" s="203"/>
    </row>
    <row r="3503" ht="12.75">
      <c r="A3503" s="203"/>
    </row>
    <row r="3504" ht="12.75">
      <c r="A3504" s="203"/>
    </row>
    <row r="3505" ht="12.75">
      <c r="A3505" s="203"/>
    </row>
    <row r="3506" ht="12.75">
      <c r="A3506" s="203"/>
    </row>
    <row r="3507" ht="12.75">
      <c r="A3507" s="203"/>
    </row>
    <row r="3508" ht="12.75">
      <c r="A3508" s="203"/>
    </row>
    <row r="3509" ht="12.75">
      <c r="A3509" s="203"/>
    </row>
    <row r="3510" ht="12.75">
      <c r="A3510" s="203"/>
    </row>
    <row r="3511" ht="12.75">
      <c r="A3511" s="203"/>
    </row>
    <row r="3512" ht="12.75">
      <c r="A3512" s="203"/>
    </row>
    <row r="3513" ht="12.75">
      <c r="A3513" s="203"/>
    </row>
    <row r="3514" ht="12.75">
      <c r="A3514" s="203"/>
    </row>
    <row r="3515" ht="12.75">
      <c r="A3515" s="203"/>
    </row>
    <row r="3516" ht="12.75">
      <c r="A3516" s="203"/>
    </row>
    <row r="3517" ht="12.75">
      <c r="A3517" s="203"/>
    </row>
    <row r="3518" ht="12.75">
      <c r="A3518" s="203"/>
    </row>
    <row r="3519" ht="12.75">
      <c r="A3519" s="203"/>
    </row>
    <row r="3520" ht="12.75">
      <c r="A3520" s="203"/>
    </row>
    <row r="3521" ht="12.75">
      <c r="A3521" s="203"/>
    </row>
    <row r="3522" ht="12.75">
      <c r="A3522" s="203"/>
    </row>
    <row r="3523" ht="12.75">
      <c r="A3523" s="203"/>
    </row>
    <row r="3524" ht="12.75">
      <c r="A3524" s="203"/>
    </row>
    <row r="3525" ht="12.75">
      <c r="A3525" s="203"/>
    </row>
    <row r="3526" ht="12.75">
      <c r="A3526" s="203"/>
    </row>
    <row r="3527" ht="12.75">
      <c r="A3527" s="203"/>
    </row>
    <row r="3528" ht="12.75">
      <c r="A3528" s="203"/>
    </row>
    <row r="3529" ht="12.75">
      <c r="A3529" s="203"/>
    </row>
    <row r="3530" ht="12.75">
      <c r="A3530" s="203"/>
    </row>
    <row r="3531" ht="12.75">
      <c r="A3531" s="203"/>
    </row>
    <row r="3532" ht="12.75">
      <c r="A3532" s="203"/>
    </row>
    <row r="3533" ht="12.75">
      <c r="A3533" s="203"/>
    </row>
    <row r="3534" ht="12.75">
      <c r="A3534" s="203"/>
    </row>
    <row r="3535" ht="12.75">
      <c r="A3535" s="203"/>
    </row>
    <row r="3536" ht="12.75">
      <c r="A3536" s="203"/>
    </row>
    <row r="3537" ht="12.75">
      <c r="A3537" s="203"/>
    </row>
    <row r="3538" ht="12.75">
      <c r="A3538" s="203"/>
    </row>
    <row r="3539" ht="12.75">
      <c r="A3539" s="203"/>
    </row>
    <row r="3540" ht="12.75">
      <c r="A3540" s="203"/>
    </row>
    <row r="3541" ht="12.75">
      <c r="A3541" s="203"/>
    </row>
    <row r="3542" ht="12.75">
      <c r="A3542" s="203"/>
    </row>
    <row r="3543" ht="12.75">
      <c r="A3543" s="203"/>
    </row>
    <row r="3544" ht="12.75">
      <c r="A3544" s="203"/>
    </row>
    <row r="3545" ht="12.75">
      <c r="A3545" s="203"/>
    </row>
    <row r="3546" ht="12.75">
      <c r="A3546" s="203"/>
    </row>
    <row r="3547" ht="12.75">
      <c r="A3547" s="203"/>
    </row>
    <row r="3548" ht="12.75">
      <c r="A3548" s="203"/>
    </row>
    <row r="3549" ht="12.75">
      <c r="A3549" s="203"/>
    </row>
    <row r="3550" ht="12.75">
      <c r="A3550" s="203"/>
    </row>
    <row r="3551" ht="12.75">
      <c r="A3551" s="203"/>
    </row>
    <row r="3552" ht="12.75">
      <c r="A3552" s="203"/>
    </row>
    <row r="3553" ht="12.75">
      <c r="A3553" s="203"/>
    </row>
    <row r="3554" ht="12.75">
      <c r="A3554" s="203"/>
    </row>
    <row r="3555" ht="12.75">
      <c r="A3555" s="203"/>
    </row>
    <row r="3556" ht="12.75">
      <c r="A3556" s="203"/>
    </row>
    <row r="3557" ht="12.75">
      <c r="A3557" s="203"/>
    </row>
    <row r="3558" ht="12.75">
      <c r="A3558" s="203"/>
    </row>
    <row r="3559" ht="12.75">
      <c r="A3559" s="203"/>
    </row>
    <row r="3560" ht="12.75">
      <c r="A3560" s="203"/>
    </row>
    <row r="3561" ht="12.75">
      <c r="A3561" s="203"/>
    </row>
    <row r="3562" ht="12.75">
      <c r="A3562" s="203"/>
    </row>
    <row r="3563" ht="12.75">
      <c r="A3563" s="203"/>
    </row>
    <row r="3564" ht="12.75">
      <c r="A3564" s="203"/>
    </row>
    <row r="3565" ht="12.75">
      <c r="A3565" s="203"/>
    </row>
    <row r="3566" ht="12.75">
      <c r="A3566" s="203"/>
    </row>
    <row r="3567" ht="12.75">
      <c r="A3567" s="203"/>
    </row>
    <row r="3568" ht="12.75">
      <c r="A3568" s="203"/>
    </row>
    <row r="3569" ht="12.75">
      <c r="A3569" s="203"/>
    </row>
    <row r="3570" ht="12.75">
      <c r="A3570" s="203"/>
    </row>
    <row r="3571" ht="12.75">
      <c r="A3571" s="203"/>
    </row>
    <row r="3572" ht="12.75">
      <c r="A3572" s="203"/>
    </row>
    <row r="3573" ht="12.75">
      <c r="A3573" s="203"/>
    </row>
    <row r="3574" ht="12.75">
      <c r="A3574" s="203"/>
    </row>
    <row r="3575" ht="12.75">
      <c r="A3575" s="203"/>
    </row>
    <row r="3576" ht="12.75">
      <c r="A3576" s="203"/>
    </row>
    <row r="3577" ht="12.75">
      <c r="A3577" s="203"/>
    </row>
    <row r="3578" ht="12.75">
      <c r="A3578" s="203"/>
    </row>
    <row r="3579" ht="12.75">
      <c r="A3579" s="203"/>
    </row>
    <row r="3580" ht="12.75">
      <c r="A3580" s="203"/>
    </row>
    <row r="3581" ht="12.75">
      <c r="A3581" s="203"/>
    </row>
    <row r="3582" ht="12.75">
      <c r="A3582" s="203"/>
    </row>
    <row r="3583" ht="12.75">
      <c r="A3583" s="203"/>
    </row>
    <row r="3584" ht="12.75">
      <c r="A3584" s="203"/>
    </row>
    <row r="3585" ht="12.75">
      <c r="A3585" s="203"/>
    </row>
    <row r="3586" ht="12.75">
      <c r="A3586" s="203"/>
    </row>
    <row r="3587" ht="12.75">
      <c r="A3587" s="203"/>
    </row>
    <row r="3588" ht="12.75">
      <c r="A3588" s="203"/>
    </row>
    <row r="3589" ht="12.75">
      <c r="A3589" s="203"/>
    </row>
    <row r="3590" ht="12.75">
      <c r="A3590" s="203"/>
    </row>
    <row r="3591" ht="12.75">
      <c r="A3591" s="203"/>
    </row>
    <row r="3592" ht="12.75">
      <c r="A3592" s="203"/>
    </row>
    <row r="3593" ht="12.75">
      <c r="A3593" s="203"/>
    </row>
    <row r="3594" ht="12.75">
      <c r="A3594" s="203"/>
    </row>
    <row r="3595" ht="12.75">
      <c r="A3595" s="203"/>
    </row>
    <row r="3596" ht="12.75">
      <c r="A3596" s="203"/>
    </row>
    <row r="3597" ht="12.75">
      <c r="A3597" s="203"/>
    </row>
    <row r="3598" ht="12.75">
      <c r="A3598" s="203"/>
    </row>
    <row r="3599" ht="12.75">
      <c r="A3599" s="203"/>
    </row>
    <row r="3600" ht="12.75">
      <c r="A3600" s="203"/>
    </row>
    <row r="3601" ht="12.75">
      <c r="A3601" s="203"/>
    </row>
    <row r="3602" ht="12.75">
      <c r="A3602" s="203"/>
    </row>
    <row r="3603" ht="12.75">
      <c r="A3603" s="203"/>
    </row>
    <row r="3604" ht="12.75">
      <c r="A3604" s="203"/>
    </row>
    <row r="3605" ht="12.75">
      <c r="A3605" s="203"/>
    </row>
    <row r="3606" ht="12.75">
      <c r="A3606" s="203"/>
    </row>
    <row r="3607" ht="12.75">
      <c r="A3607" s="203"/>
    </row>
    <row r="3608" ht="12.75">
      <c r="A3608" s="203"/>
    </row>
    <row r="3609" ht="12.75">
      <c r="A3609" s="203"/>
    </row>
    <row r="3610" ht="12.75">
      <c r="A3610" s="203"/>
    </row>
    <row r="3611" ht="12.75">
      <c r="A3611" s="203"/>
    </row>
    <row r="3612" ht="12.75">
      <c r="A3612" s="203"/>
    </row>
    <row r="3613" ht="12.75">
      <c r="A3613" s="203"/>
    </row>
    <row r="3614" ht="12.75">
      <c r="A3614" s="203"/>
    </row>
    <row r="3615" ht="12.75">
      <c r="A3615" s="203"/>
    </row>
    <row r="3616" ht="12.75">
      <c r="A3616" s="203"/>
    </row>
    <row r="3617" ht="12.75">
      <c r="A3617" s="203"/>
    </row>
    <row r="3618" ht="12.75">
      <c r="A3618" s="203"/>
    </row>
    <row r="3619" ht="12.75">
      <c r="A3619" s="203"/>
    </row>
    <row r="3620" ht="12.75">
      <c r="A3620" s="203"/>
    </row>
    <row r="3621" ht="12.75">
      <c r="A3621" s="203"/>
    </row>
    <row r="3622" ht="12.75">
      <c r="A3622" s="203"/>
    </row>
    <row r="3623" ht="12.75">
      <c r="A3623" s="203"/>
    </row>
    <row r="3624" ht="12.75">
      <c r="A3624" s="203"/>
    </row>
    <row r="3625" ht="12.75">
      <c r="A3625" s="203"/>
    </row>
    <row r="3626" ht="12.75">
      <c r="A3626" s="203"/>
    </row>
    <row r="3627" ht="12.75">
      <c r="A3627" s="203"/>
    </row>
    <row r="3628" ht="12.75">
      <c r="A3628" s="203"/>
    </row>
    <row r="3629" ht="12.75">
      <c r="A3629" s="203"/>
    </row>
    <row r="3630" ht="12.75">
      <c r="A3630" s="203"/>
    </row>
    <row r="3631" ht="12.75">
      <c r="A3631" s="203"/>
    </row>
    <row r="3632" ht="12.75">
      <c r="A3632" s="203"/>
    </row>
    <row r="3633" ht="12.75">
      <c r="A3633" s="203"/>
    </row>
    <row r="3634" ht="12.75">
      <c r="A3634" s="203"/>
    </row>
    <row r="3635" ht="12.75">
      <c r="A3635" s="203"/>
    </row>
    <row r="3636" ht="12.75">
      <c r="A3636" s="203"/>
    </row>
    <row r="3637" ht="12.75">
      <c r="A3637" s="203"/>
    </row>
    <row r="3638" ht="12.75">
      <c r="A3638" s="203"/>
    </row>
    <row r="3639" ht="12.75">
      <c r="A3639" s="203"/>
    </row>
    <row r="3640" ht="12.75">
      <c r="A3640" s="203"/>
    </row>
    <row r="3641" ht="12.75">
      <c r="A3641" s="203"/>
    </row>
    <row r="3642" ht="12.75">
      <c r="A3642" s="203"/>
    </row>
    <row r="3643" ht="12.75">
      <c r="A3643" s="203"/>
    </row>
    <row r="3644" ht="12.75">
      <c r="A3644" s="203"/>
    </row>
    <row r="3645" ht="12.75">
      <c r="A3645" s="203"/>
    </row>
    <row r="3646" ht="12.75">
      <c r="A3646" s="203"/>
    </row>
    <row r="3647" ht="12.75">
      <c r="A3647" s="203"/>
    </row>
    <row r="3648" ht="12.75">
      <c r="A3648" s="203"/>
    </row>
    <row r="3649" ht="12.75">
      <c r="A3649" s="203"/>
    </row>
    <row r="3650" ht="12.75">
      <c r="A3650" s="203"/>
    </row>
    <row r="3651" ht="12.75">
      <c r="A3651" s="203"/>
    </row>
    <row r="3652" ht="12.75">
      <c r="A3652" s="203"/>
    </row>
    <row r="3653" ht="12.75">
      <c r="A3653" s="203"/>
    </row>
    <row r="3654" ht="12.75">
      <c r="A3654" s="203"/>
    </row>
    <row r="3655" ht="12.75">
      <c r="A3655" s="203"/>
    </row>
    <row r="3656" ht="12.75">
      <c r="A3656" s="203"/>
    </row>
    <row r="3657" ht="12.75">
      <c r="A3657" s="203"/>
    </row>
    <row r="3658" ht="12.75">
      <c r="A3658" s="203"/>
    </row>
    <row r="3659" ht="12.75">
      <c r="A3659" s="203"/>
    </row>
    <row r="3660" ht="12.75">
      <c r="A3660" s="203"/>
    </row>
    <row r="3661" ht="12.75">
      <c r="A3661" s="203"/>
    </row>
    <row r="3662" ht="12.75">
      <c r="A3662" s="203"/>
    </row>
    <row r="3663" ht="12.75">
      <c r="A3663" s="203"/>
    </row>
    <row r="3664" ht="12.75">
      <c r="A3664" s="203"/>
    </row>
    <row r="3665" ht="12.75">
      <c r="A3665" s="203"/>
    </row>
    <row r="3666" ht="12.75">
      <c r="A3666" s="203"/>
    </row>
    <row r="3667" ht="12.75">
      <c r="A3667" s="203"/>
    </row>
    <row r="3668" ht="12.75">
      <c r="A3668" s="203"/>
    </row>
    <row r="3669" ht="12.75">
      <c r="A3669" s="203"/>
    </row>
    <row r="3670" ht="12.75">
      <c r="A3670" s="203"/>
    </row>
    <row r="3671" ht="12.75">
      <c r="A3671" s="203"/>
    </row>
    <row r="3672" ht="12.75">
      <c r="A3672" s="203"/>
    </row>
    <row r="3673" ht="12.75">
      <c r="A3673" s="203"/>
    </row>
    <row r="3674" ht="12.75">
      <c r="A3674" s="203"/>
    </row>
    <row r="3675" ht="12.75">
      <c r="A3675" s="203"/>
    </row>
    <row r="3676" ht="12.75">
      <c r="A3676" s="203"/>
    </row>
    <row r="3677" ht="12.75">
      <c r="A3677" s="203"/>
    </row>
    <row r="3678" ht="12.75">
      <c r="A3678" s="203"/>
    </row>
    <row r="3679" ht="12.75">
      <c r="A3679" s="203"/>
    </row>
    <row r="3680" ht="12.75">
      <c r="A3680" s="203"/>
    </row>
    <row r="3681" ht="12.75">
      <c r="A3681" s="203"/>
    </row>
    <row r="3682" ht="12.75">
      <c r="A3682" s="203"/>
    </row>
    <row r="3683" ht="12.75">
      <c r="A3683" s="203"/>
    </row>
    <row r="3684" ht="12.75">
      <c r="A3684" s="203"/>
    </row>
    <row r="3685" ht="12.75">
      <c r="A3685" s="203"/>
    </row>
    <row r="3686" ht="12.75">
      <c r="A3686" s="203"/>
    </row>
    <row r="3687" ht="12.75">
      <c r="A3687" s="203"/>
    </row>
    <row r="3688" ht="12.75">
      <c r="A3688" s="203"/>
    </row>
    <row r="3689" ht="12.75">
      <c r="A3689" s="203"/>
    </row>
    <row r="3690" ht="12.75">
      <c r="A3690" s="203"/>
    </row>
    <row r="3691" ht="12.75">
      <c r="A3691" s="203"/>
    </row>
    <row r="3692" ht="12.75">
      <c r="A3692" s="203"/>
    </row>
    <row r="3693" ht="12.75">
      <c r="A3693" s="203"/>
    </row>
    <row r="3694" ht="12.75">
      <c r="A3694" s="203"/>
    </row>
    <row r="3695" ht="12.75">
      <c r="A3695" s="203"/>
    </row>
    <row r="3696" ht="12.75">
      <c r="A3696" s="203"/>
    </row>
    <row r="3697" ht="12.75">
      <c r="A3697" s="203"/>
    </row>
    <row r="3698" ht="12.75">
      <c r="A3698" s="203"/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1"/>
  <sheetViews>
    <sheetView showGridLines="0" view="pageBreakPreview" zoomScale="150" zoomScaleNormal="140" zoomScaleSheetLayoutView="150" workbookViewId="0" topLeftCell="A1">
      <selection activeCell="C56" sqref="C56"/>
    </sheetView>
  </sheetViews>
  <sheetFormatPr defaultColWidth="9.796875" defaultRowHeight="15"/>
  <cols>
    <col min="1" max="1" width="3.796875" style="8" customWidth="1"/>
    <col min="2" max="2" width="4.796875" style="11" customWidth="1"/>
    <col min="3" max="3" width="27.59765625" style="115" customWidth="1"/>
    <col min="4" max="12" width="7.796875" style="0" customWidth="1"/>
    <col min="13" max="16384" width="11.59765625" style="0" customWidth="1"/>
  </cols>
  <sheetData>
    <row r="1" spans="1:12" s="3" customFormat="1" ht="15" customHeight="1">
      <c r="A1" s="287" t="s">
        <v>348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3" spans="1:12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5">
      <c r="A4" s="43" t="s">
        <v>131</v>
      </c>
      <c r="B4" s="9"/>
      <c r="C4" s="96"/>
      <c r="D4" s="2" t="s">
        <v>223</v>
      </c>
      <c r="E4"/>
      <c r="F4" s="2"/>
      <c r="G4" s="2"/>
      <c r="H4" s="2"/>
      <c r="I4" s="2"/>
      <c r="J4" s="2"/>
      <c r="K4" s="2"/>
      <c r="L4" s="2"/>
    </row>
    <row r="5" spans="1:12" s="3" customFormat="1" ht="15">
      <c r="A5" s="43" t="s">
        <v>137</v>
      </c>
      <c r="B5" s="9"/>
      <c r="C5" s="96"/>
      <c r="D5" s="2" t="s">
        <v>224</v>
      </c>
      <c r="E5"/>
      <c r="F5" s="2"/>
      <c r="G5" s="2"/>
      <c r="H5" s="2"/>
      <c r="I5" s="2"/>
      <c r="J5" s="2"/>
      <c r="K5" s="2"/>
      <c r="L5" s="2"/>
    </row>
    <row r="6" spans="1:12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</row>
    <row r="7" spans="1:12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</row>
    <row r="8" spans="1:12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</row>
    <row r="9" spans="1:12" s="3" customFormat="1" ht="12.75" customHeight="1">
      <c r="A9" s="6"/>
      <c r="B9" s="9"/>
      <c r="C9" s="97"/>
      <c r="D9" s="291" t="s">
        <v>149</v>
      </c>
      <c r="E9" s="292"/>
      <c r="F9" s="292"/>
      <c r="G9" s="293"/>
      <c r="H9" s="291" t="s">
        <v>150</v>
      </c>
      <c r="I9" s="292"/>
      <c r="J9" s="292"/>
      <c r="K9" s="292"/>
      <c r="L9" s="293"/>
    </row>
    <row r="10" spans="1:12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213</v>
      </c>
      <c r="L10" s="33" t="s">
        <v>4</v>
      </c>
    </row>
    <row r="11" spans="1:12" s="14" customFormat="1" ht="12.75" customHeight="1" thickBot="1">
      <c r="A11" s="288" t="s">
        <v>133</v>
      </c>
      <c r="B11" s="289"/>
      <c r="C11" s="290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0" t="s">
        <v>5</v>
      </c>
    </row>
    <row r="12" spans="1:12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2"/>
    </row>
    <row r="13" spans="1:12" s="3" customFormat="1" ht="12.75" customHeight="1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8"/>
    </row>
    <row r="14" spans="1:12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7"/>
    </row>
    <row r="15" spans="1:12" s="3" customFormat="1" ht="12.75">
      <c r="A15" s="25"/>
      <c r="B15" s="26" t="s">
        <v>8</v>
      </c>
      <c r="C15" s="101"/>
      <c r="D15" s="16"/>
      <c r="E15" s="16"/>
      <c r="F15" s="16"/>
      <c r="G15" s="23">
        <f>SUM(D15:F15)</f>
        <v>0</v>
      </c>
      <c r="H15" s="46"/>
      <c r="I15" s="46"/>
      <c r="J15" s="46"/>
      <c r="K15" s="46"/>
      <c r="L15" s="23">
        <f>SUM(H15:K15)</f>
        <v>0</v>
      </c>
    </row>
    <row r="16" spans="1:12" s="3" customFormat="1" ht="12.75">
      <c r="A16" s="25"/>
      <c r="B16" s="39" t="s">
        <v>10</v>
      </c>
      <c r="C16" s="102" t="s">
        <v>138</v>
      </c>
      <c r="D16" s="17">
        <f aca="true" t="shared" si="0" ref="D16:L16">SUM(D15:D15)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</row>
    <row r="17" spans="1:12" s="3" customFormat="1" ht="12.75">
      <c r="A17" s="59"/>
      <c r="B17" s="60" t="s">
        <v>11</v>
      </c>
      <c r="C17" s="103" t="s">
        <v>108</v>
      </c>
      <c r="D17" s="61"/>
      <c r="E17" s="61"/>
      <c r="F17" s="61"/>
      <c r="G17" s="62"/>
      <c r="H17" s="63"/>
      <c r="I17" s="61"/>
      <c r="J17" s="61"/>
      <c r="K17" s="61"/>
      <c r="L17" s="64"/>
    </row>
    <row r="18" spans="1:12" s="3" customFormat="1" ht="12.75">
      <c r="A18" s="54"/>
      <c r="B18" s="55"/>
      <c r="C18" s="100" t="s">
        <v>114</v>
      </c>
      <c r="D18" s="56"/>
      <c r="E18" s="56"/>
      <c r="F18" s="56"/>
      <c r="G18" s="57"/>
      <c r="H18" s="58"/>
      <c r="I18" s="56"/>
      <c r="J18" s="56"/>
      <c r="K18" s="56"/>
      <c r="L18" s="65"/>
    </row>
    <row r="19" spans="1:12" s="3" customFormat="1" ht="12.75">
      <c r="A19" s="25"/>
      <c r="B19" s="26" t="s">
        <v>12</v>
      </c>
      <c r="C19" s="101"/>
      <c r="D19" s="16"/>
      <c r="E19" s="16"/>
      <c r="F19" s="16"/>
      <c r="G19" s="23">
        <f>SUM(D19:F19)</f>
        <v>0</v>
      </c>
      <c r="H19" s="46"/>
      <c r="I19" s="46"/>
      <c r="J19" s="46"/>
      <c r="K19" s="46"/>
      <c r="L19" s="23">
        <f>SUM(H19:K19)</f>
        <v>0</v>
      </c>
    </row>
    <row r="20" spans="1:12" s="3" customFormat="1" ht="12.75">
      <c r="A20" s="25"/>
      <c r="B20" s="39" t="s">
        <v>15</v>
      </c>
      <c r="C20" s="102" t="s">
        <v>138</v>
      </c>
      <c r="D20" s="17">
        <f aca="true" t="shared" si="1" ref="D20:L20">SUM(D19:D19)</f>
        <v>0</v>
      </c>
      <c r="E20" s="17">
        <f t="shared" si="1"/>
        <v>0</v>
      </c>
      <c r="F20" s="17">
        <f t="shared" si="1"/>
        <v>0</v>
      </c>
      <c r="G20" s="23">
        <f t="shared" si="1"/>
        <v>0</v>
      </c>
      <c r="H20" s="4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23">
        <f t="shared" si="1"/>
        <v>0</v>
      </c>
    </row>
    <row r="21" spans="1:12" s="3" customFormat="1" ht="12.75">
      <c r="A21" s="59"/>
      <c r="B21" s="66" t="s">
        <v>16</v>
      </c>
      <c r="C21" s="104" t="s">
        <v>95</v>
      </c>
      <c r="D21" s="61"/>
      <c r="E21" s="61"/>
      <c r="F21" s="61"/>
      <c r="G21" s="62"/>
      <c r="H21" s="63"/>
      <c r="I21" s="61"/>
      <c r="J21" s="61"/>
      <c r="K21" s="61"/>
      <c r="L21" s="64"/>
    </row>
    <row r="22" spans="1:12" s="3" customFormat="1" ht="12.75">
      <c r="A22" s="54"/>
      <c r="B22" s="67"/>
      <c r="C22" s="100" t="s">
        <v>113</v>
      </c>
      <c r="D22" s="56"/>
      <c r="E22" s="56"/>
      <c r="F22" s="56"/>
      <c r="G22" s="57"/>
      <c r="H22" s="58"/>
      <c r="I22" s="56"/>
      <c r="J22" s="56"/>
      <c r="K22" s="56"/>
      <c r="L22" s="65"/>
    </row>
    <row r="23" spans="1:12" s="3" customFormat="1" ht="12.75">
      <c r="A23" s="25"/>
      <c r="B23" s="39" t="s">
        <v>17</v>
      </c>
      <c r="C23" s="101" t="s">
        <v>349</v>
      </c>
      <c r="D23" s="16">
        <f>500*42/3</f>
        <v>7000</v>
      </c>
      <c r="E23" s="16">
        <f>D23</f>
        <v>7000</v>
      </c>
      <c r="F23" s="16">
        <f>E23</f>
        <v>7000</v>
      </c>
      <c r="G23" s="23">
        <f>SUM(D23:F23)</f>
        <v>21000</v>
      </c>
      <c r="H23" s="46">
        <f>500*6</f>
        <v>3000</v>
      </c>
      <c r="I23" s="46">
        <f>500*12</f>
        <v>6000</v>
      </c>
      <c r="J23" s="46">
        <f>I23</f>
        <v>6000</v>
      </c>
      <c r="K23" s="46">
        <f>J23</f>
        <v>6000</v>
      </c>
      <c r="L23" s="23">
        <f>SUM(H23:K23)</f>
        <v>21000</v>
      </c>
    </row>
    <row r="24" spans="1:12" s="3" customFormat="1" ht="12.75">
      <c r="A24" s="25"/>
      <c r="B24" s="39" t="s">
        <v>20</v>
      </c>
      <c r="C24" s="102" t="s">
        <v>138</v>
      </c>
      <c r="D24" s="17">
        <f aca="true" t="shared" si="2" ref="D24:L24">SUM(D23:D23)</f>
        <v>7000</v>
      </c>
      <c r="E24" s="17">
        <f t="shared" si="2"/>
        <v>7000</v>
      </c>
      <c r="F24" s="17">
        <f t="shared" si="2"/>
        <v>7000</v>
      </c>
      <c r="G24" s="17">
        <f t="shared" si="2"/>
        <v>21000</v>
      </c>
      <c r="H24" s="17">
        <f t="shared" si="2"/>
        <v>3000</v>
      </c>
      <c r="I24" s="17">
        <f t="shared" si="2"/>
        <v>6000</v>
      </c>
      <c r="J24" s="17">
        <f t="shared" si="2"/>
        <v>6000</v>
      </c>
      <c r="K24" s="17">
        <f t="shared" si="2"/>
        <v>6000</v>
      </c>
      <c r="L24" s="17">
        <f t="shared" si="2"/>
        <v>21000</v>
      </c>
    </row>
    <row r="25" spans="1:12" s="3" customFormat="1" ht="12.75">
      <c r="A25" s="25"/>
      <c r="B25" s="40" t="s">
        <v>21</v>
      </c>
      <c r="C25" s="106" t="s">
        <v>110</v>
      </c>
      <c r="D25" s="15"/>
      <c r="E25" s="15"/>
      <c r="F25" s="15"/>
      <c r="G25" s="34"/>
      <c r="H25" s="27"/>
      <c r="I25" s="15"/>
      <c r="J25" s="15"/>
      <c r="K25" s="15"/>
      <c r="L25" s="23"/>
    </row>
    <row r="26" spans="1:12" s="3" customFormat="1" ht="12.75">
      <c r="A26" s="25"/>
      <c r="B26" s="39" t="s">
        <v>22</v>
      </c>
      <c r="C26" s="105"/>
      <c r="D26" s="15"/>
      <c r="E26" s="15"/>
      <c r="F26" s="15"/>
      <c r="G26" s="23">
        <f>SUM(D26:F26)</f>
        <v>0</v>
      </c>
      <c r="H26" s="46"/>
      <c r="I26" s="16"/>
      <c r="J26" s="16"/>
      <c r="K26" s="16"/>
      <c r="L26" s="23">
        <f>SUM(H26:K26)</f>
        <v>0</v>
      </c>
    </row>
    <row r="27" spans="1:12" s="3" customFormat="1" ht="12.75">
      <c r="A27" s="25"/>
      <c r="B27" s="39" t="s">
        <v>24</v>
      </c>
      <c r="C27" s="102" t="s">
        <v>138</v>
      </c>
      <c r="D27" s="17">
        <f aca="true" t="shared" si="3" ref="D27:L27">SUM(D26:D26)</f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</row>
    <row r="28" spans="1:12" s="3" customFormat="1" ht="12.75">
      <c r="A28" s="25"/>
      <c r="B28" s="40" t="s">
        <v>25</v>
      </c>
      <c r="C28" s="106" t="s">
        <v>91</v>
      </c>
      <c r="D28" s="15"/>
      <c r="E28" s="15"/>
      <c r="F28" s="15"/>
      <c r="G28" s="34"/>
      <c r="H28" s="27"/>
      <c r="I28" s="15"/>
      <c r="J28" s="15"/>
      <c r="K28" s="15"/>
      <c r="L28" s="23"/>
    </row>
    <row r="29" spans="1:12" s="3" customFormat="1" ht="12.75">
      <c r="A29" s="25"/>
      <c r="B29" s="39" t="s">
        <v>26</v>
      </c>
      <c r="C29" s="105"/>
      <c r="D29" s="16"/>
      <c r="E29" s="15"/>
      <c r="F29" s="15"/>
      <c r="G29" s="23">
        <f>SUM(D29:F29)</f>
        <v>0</v>
      </c>
      <c r="H29" s="16"/>
      <c r="I29" s="16"/>
      <c r="J29" s="16"/>
      <c r="K29" s="16"/>
      <c r="L29" s="23">
        <f>SUM(H29:K29)</f>
        <v>0</v>
      </c>
    </row>
    <row r="30" spans="1:12" s="3" customFormat="1" ht="12.75">
      <c r="A30" s="25"/>
      <c r="B30" s="39" t="s">
        <v>28</v>
      </c>
      <c r="C30" s="102" t="s">
        <v>138</v>
      </c>
      <c r="D30" s="17">
        <f aca="true" t="shared" si="4" ref="D30:L30">SUM(D29:D29)</f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</row>
    <row r="31" spans="1:12" s="3" customFormat="1" ht="12.75">
      <c r="A31" s="35"/>
      <c r="B31" s="36">
        <v>1999</v>
      </c>
      <c r="C31" s="107" t="s">
        <v>29</v>
      </c>
      <c r="D31" s="17">
        <f aca="true" t="shared" si="5" ref="D31:L31">+D16+D20+D24+D27+D30</f>
        <v>7000</v>
      </c>
      <c r="E31" s="17">
        <f t="shared" si="5"/>
        <v>7000</v>
      </c>
      <c r="F31" s="17">
        <f t="shared" si="5"/>
        <v>7000</v>
      </c>
      <c r="G31" s="17">
        <f t="shared" si="5"/>
        <v>21000</v>
      </c>
      <c r="H31" s="17">
        <f t="shared" si="5"/>
        <v>3000</v>
      </c>
      <c r="I31" s="17">
        <f t="shared" si="5"/>
        <v>6000</v>
      </c>
      <c r="J31" s="17">
        <f t="shared" si="5"/>
        <v>6000</v>
      </c>
      <c r="K31" s="17">
        <f t="shared" si="5"/>
        <v>6000</v>
      </c>
      <c r="L31" s="17">
        <f t="shared" si="5"/>
        <v>21000</v>
      </c>
    </row>
    <row r="32" spans="1:12" s="3" customFormat="1" ht="12.75">
      <c r="A32" s="80">
        <v>20</v>
      </c>
      <c r="B32" s="74" t="s">
        <v>104</v>
      </c>
      <c r="C32" s="108"/>
      <c r="D32" s="61"/>
      <c r="E32" s="61"/>
      <c r="F32" s="61"/>
      <c r="G32" s="62"/>
      <c r="H32" s="63"/>
      <c r="I32" s="61"/>
      <c r="J32" s="61"/>
      <c r="K32" s="61"/>
      <c r="L32" s="64"/>
    </row>
    <row r="33" spans="1:12" s="3" customFormat="1" ht="12.75">
      <c r="A33" s="22"/>
      <c r="B33" s="76" t="s">
        <v>30</v>
      </c>
      <c r="C33" s="99" t="s">
        <v>115</v>
      </c>
      <c r="D33" s="81"/>
      <c r="E33" s="81"/>
      <c r="F33" s="81"/>
      <c r="G33" s="82"/>
      <c r="H33" s="83"/>
      <c r="I33" s="81"/>
      <c r="J33" s="81"/>
      <c r="K33" s="81"/>
      <c r="L33" s="82"/>
    </row>
    <row r="34" spans="1:12" s="3" customFormat="1" ht="12.75">
      <c r="A34" s="54"/>
      <c r="B34" s="55"/>
      <c r="C34" s="100" t="s">
        <v>116</v>
      </c>
      <c r="D34" s="70"/>
      <c r="E34" s="70"/>
      <c r="F34" s="70"/>
      <c r="G34" s="65"/>
      <c r="H34" s="71"/>
      <c r="I34" s="70"/>
      <c r="J34" s="70"/>
      <c r="K34" s="70"/>
      <c r="L34" s="65"/>
    </row>
    <row r="35" spans="1:12" s="3" customFormat="1" ht="12.75">
      <c r="A35" s="25"/>
      <c r="B35" s="26" t="s">
        <v>31</v>
      </c>
      <c r="C35" s="105"/>
      <c r="D35" s="16"/>
      <c r="E35" s="16"/>
      <c r="F35" s="16"/>
      <c r="G35" s="23">
        <f>SUM(D35:F35)</f>
        <v>0</v>
      </c>
      <c r="H35" s="46"/>
      <c r="I35" s="16"/>
      <c r="J35" s="16"/>
      <c r="K35" s="16"/>
      <c r="L35" s="23">
        <f>SUM(H35:K35)</f>
        <v>0</v>
      </c>
    </row>
    <row r="36" spans="1:12" s="3" customFormat="1" ht="12.75">
      <c r="A36" s="25"/>
      <c r="B36" s="39" t="s">
        <v>32</v>
      </c>
      <c r="C36" s="102" t="s">
        <v>138</v>
      </c>
      <c r="D36" s="17">
        <f aca="true" t="shared" si="6" ref="D36:L36">SUM(D35:D35)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</row>
    <row r="37" spans="1:12" s="3" customFormat="1" ht="12.75">
      <c r="A37" s="59"/>
      <c r="B37" s="66" t="s">
        <v>33</v>
      </c>
      <c r="C37" s="103" t="s">
        <v>117</v>
      </c>
      <c r="D37" s="68"/>
      <c r="E37" s="68"/>
      <c r="F37" s="68"/>
      <c r="G37" s="64"/>
      <c r="H37" s="69"/>
      <c r="I37" s="68"/>
      <c r="J37" s="68"/>
      <c r="K37" s="68"/>
      <c r="L37" s="64"/>
    </row>
    <row r="38" spans="1:12" s="3" customFormat="1" ht="12.75">
      <c r="A38" s="54"/>
      <c r="B38" s="67"/>
      <c r="C38" s="109" t="s">
        <v>118</v>
      </c>
      <c r="D38" s="70"/>
      <c r="E38" s="70"/>
      <c r="F38" s="70"/>
      <c r="G38" s="65"/>
      <c r="H38" s="71"/>
      <c r="I38" s="70"/>
      <c r="J38" s="70"/>
      <c r="K38" s="70"/>
      <c r="L38" s="65"/>
    </row>
    <row r="39" spans="1:12" s="3" customFormat="1" ht="12.75">
      <c r="A39" s="25"/>
      <c r="B39" s="39" t="s">
        <v>34</v>
      </c>
      <c r="C39" s="102"/>
      <c r="D39" s="16"/>
      <c r="E39" s="16"/>
      <c r="F39" s="16"/>
      <c r="G39" s="23">
        <f>SUM(D39:F39)</f>
        <v>0</v>
      </c>
      <c r="H39" s="46"/>
      <c r="I39" s="46"/>
      <c r="J39" s="46"/>
      <c r="K39" s="46"/>
      <c r="L39" s="23">
        <f>SUM(H39:K39)</f>
        <v>0</v>
      </c>
    </row>
    <row r="40" spans="1:12" s="3" customFormat="1" ht="12.75">
      <c r="A40" s="25"/>
      <c r="B40" s="39" t="s">
        <v>37</v>
      </c>
      <c r="C40" s="102" t="s">
        <v>138</v>
      </c>
      <c r="D40" s="17">
        <f aca="true" t="shared" si="7" ref="D40:L40">SUM(D39:D39)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</row>
    <row r="41" spans="1:12" s="3" customFormat="1" ht="12.75">
      <c r="A41" s="25"/>
      <c r="B41" s="40" t="s">
        <v>38</v>
      </c>
      <c r="C41" s="106" t="s">
        <v>126</v>
      </c>
      <c r="D41" s="16"/>
      <c r="E41" s="16"/>
      <c r="F41" s="16"/>
      <c r="G41" s="23"/>
      <c r="H41" s="46"/>
      <c r="I41" s="16"/>
      <c r="J41" s="16"/>
      <c r="K41" s="16"/>
      <c r="L41" s="23"/>
    </row>
    <row r="42" spans="1:12" s="3" customFormat="1" ht="13.5" thickBot="1">
      <c r="A42" s="25"/>
      <c r="B42" s="39" t="s">
        <v>39</v>
      </c>
      <c r="C42" s="95"/>
      <c r="D42" s="16"/>
      <c r="E42" s="16"/>
      <c r="F42" s="16"/>
      <c r="G42" s="23">
        <f>SUM(D42:F42)</f>
        <v>0</v>
      </c>
      <c r="H42" s="46"/>
      <c r="I42" s="46"/>
      <c r="J42" s="16"/>
      <c r="K42" s="16"/>
      <c r="L42" s="23">
        <f>SUM(H42:K42)</f>
        <v>0</v>
      </c>
    </row>
    <row r="43" spans="1:12" s="3" customFormat="1" ht="12.75">
      <c r="A43" s="25"/>
      <c r="B43" s="39" t="s">
        <v>42</v>
      </c>
      <c r="C43" s="102" t="s">
        <v>138</v>
      </c>
      <c r="D43" s="17">
        <f aca="true" t="shared" si="8" ref="D43:L43">SUM(D42:D42)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</row>
    <row r="44" spans="1:12" s="3" customFormat="1" ht="12.75">
      <c r="A44" s="35"/>
      <c r="B44" s="36">
        <v>2999</v>
      </c>
      <c r="C44" s="107" t="s">
        <v>29</v>
      </c>
      <c r="D44" s="17">
        <f aca="true" t="shared" si="9" ref="D44:L44">+D36+D40+D43</f>
        <v>0</v>
      </c>
      <c r="E44" s="17">
        <f t="shared" si="9"/>
        <v>0</v>
      </c>
      <c r="F44" s="17">
        <f t="shared" si="9"/>
        <v>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0</v>
      </c>
      <c r="L44" s="17">
        <f t="shared" si="9"/>
        <v>0</v>
      </c>
    </row>
    <row r="45" spans="1:12" s="3" customFormat="1" ht="12.75">
      <c r="A45" s="84">
        <v>30</v>
      </c>
      <c r="B45" s="85" t="s">
        <v>43</v>
      </c>
      <c r="C45" s="110"/>
      <c r="D45" s="77"/>
      <c r="E45" s="77"/>
      <c r="F45" s="77"/>
      <c r="G45" s="78"/>
      <c r="H45" s="79"/>
      <c r="I45" s="77"/>
      <c r="J45" s="77"/>
      <c r="K45" s="77"/>
      <c r="L45" s="82"/>
    </row>
    <row r="46" spans="1:12" s="3" customFormat="1" ht="12.75">
      <c r="A46" s="22"/>
      <c r="B46" s="76" t="s">
        <v>44</v>
      </c>
      <c r="C46" s="99" t="s">
        <v>119</v>
      </c>
      <c r="D46" s="77"/>
      <c r="E46" s="77"/>
      <c r="F46" s="77"/>
      <c r="G46" s="78"/>
      <c r="H46" s="79"/>
      <c r="I46" s="77"/>
      <c r="J46" s="77"/>
      <c r="K46" s="77"/>
      <c r="L46" s="82"/>
    </row>
    <row r="47" spans="1:12" s="3" customFormat="1" ht="12.75">
      <c r="A47" s="54"/>
      <c r="B47" s="55"/>
      <c r="C47" s="100" t="s">
        <v>120</v>
      </c>
      <c r="D47" s="56"/>
      <c r="E47" s="56"/>
      <c r="F47" s="56"/>
      <c r="G47" s="57"/>
      <c r="H47" s="58"/>
      <c r="I47" s="56"/>
      <c r="J47" s="56"/>
      <c r="K47" s="56"/>
      <c r="L47" s="65"/>
    </row>
    <row r="48" spans="1:12" s="3" customFormat="1" ht="12.75">
      <c r="A48" s="25"/>
      <c r="B48" s="26" t="s">
        <v>45</v>
      </c>
      <c r="C48" s="111"/>
      <c r="D48" s="16"/>
      <c r="E48" s="16"/>
      <c r="F48" s="16"/>
      <c r="G48" s="23">
        <f>SUM(D48:F48)</f>
        <v>0</v>
      </c>
      <c r="H48" s="46"/>
      <c r="I48" s="16"/>
      <c r="J48" s="16"/>
      <c r="K48" s="16"/>
      <c r="L48" s="23">
        <f>SUM(H48:K48)</f>
        <v>0</v>
      </c>
    </row>
    <row r="49" spans="1:12" s="3" customFormat="1" ht="12.75">
      <c r="A49" s="25"/>
      <c r="B49" s="39" t="s">
        <v>47</v>
      </c>
      <c r="C49" s="102" t="s">
        <v>138</v>
      </c>
      <c r="D49" s="17">
        <f aca="true" t="shared" si="10" ref="D49:L49">SUM(D48:D48)</f>
        <v>0</v>
      </c>
      <c r="E49" s="17">
        <f t="shared" si="10"/>
        <v>0</v>
      </c>
      <c r="F49" s="17">
        <f t="shared" si="10"/>
        <v>0</v>
      </c>
      <c r="G49" s="23">
        <f t="shared" si="10"/>
        <v>0</v>
      </c>
      <c r="H49" s="4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23">
        <f t="shared" si="10"/>
        <v>0</v>
      </c>
    </row>
    <row r="50" spans="1:12" s="3" customFormat="1" ht="12.75">
      <c r="A50" s="59"/>
      <c r="B50" s="66" t="s">
        <v>48</v>
      </c>
      <c r="C50" s="104" t="s">
        <v>105</v>
      </c>
      <c r="D50" s="61"/>
      <c r="E50" s="61"/>
      <c r="F50" s="61"/>
      <c r="G50" s="62"/>
      <c r="H50" s="63"/>
      <c r="I50" s="61"/>
      <c r="J50" s="61"/>
      <c r="K50" s="61"/>
      <c r="L50" s="64"/>
    </row>
    <row r="51" spans="1:12" s="3" customFormat="1" ht="12.75">
      <c r="A51" s="54"/>
      <c r="B51" s="67"/>
      <c r="C51" s="109" t="s">
        <v>106</v>
      </c>
      <c r="D51" s="56"/>
      <c r="E51" s="56"/>
      <c r="F51" s="56"/>
      <c r="G51" s="57"/>
      <c r="H51" s="58"/>
      <c r="I51" s="56"/>
      <c r="J51" s="56"/>
      <c r="K51" s="56"/>
      <c r="L51" s="65"/>
    </row>
    <row r="52" spans="1:12" s="3" customFormat="1" ht="12.75">
      <c r="A52" s="25"/>
      <c r="B52" s="39" t="s">
        <v>49</v>
      </c>
      <c r="C52" s="102"/>
      <c r="D52" s="16"/>
      <c r="E52" s="15"/>
      <c r="F52" s="15"/>
      <c r="G52" s="23">
        <f>SUM(D52:F52)</f>
        <v>0</v>
      </c>
      <c r="H52" s="46"/>
      <c r="I52" s="16"/>
      <c r="J52" s="16"/>
      <c r="K52" s="16"/>
      <c r="L52" s="23">
        <f>SUM(H52:K52)</f>
        <v>0</v>
      </c>
    </row>
    <row r="53" spans="1:12" s="3" customFormat="1" ht="12.75">
      <c r="A53" s="25"/>
      <c r="B53" s="39" t="s">
        <v>50</v>
      </c>
      <c r="C53" s="102" t="s">
        <v>138</v>
      </c>
      <c r="D53" s="17">
        <f aca="true" t="shared" si="11" ref="D53:L53">SUM(D52:D52)</f>
        <v>0</v>
      </c>
      <c r="E53" s="17">
        <f t="shared" si="11"/>
        <v>0</v>
      </c>
      <c r="F53" s="17">
        <f t="shared" si="11"/>
        <v>0</v>
      </c>
      <c r="G53" s="17">
        <f t="shared" si="11"/>
        <v>0</v>
      </c>
      <c r="H53" s="17">
        <f t="shared" si="11"/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</row>
    <row r="54" spans="1:12" s="3" customFormat="1" ht="12.75">
      <c r="A54" s="25"/>
      <c r="B54" s="40" t="s">
        <v>51</v>
      </c>
      <c r="C54" s="106" t="s">
        <v>94</v>
      </c>
      <c r="D54" s="15"/>
      <c r="E54" s="15"/>
      <c r="F54" s="15"/>
      <c r="G54" s="34"/>
      <c r="H54" s="27"/>
      <c r="I54" s="15"/>
      <c r="J54" s="15"/>
      <c r="K54" s="15"/>
      <c r="L54" s="23"/>
    </row>
    <row r="55" spans="1:12" s="3" customFormat="1" ht="25.5">
      <c r="A55" s="25"/>
      <c r="B55" s="39" t="s">
        <v>52</v>
      </c>
      <c r="C55" s="102" t="s">
        <v>351</v>
      </c>
      <c r="D55" s="16">
        <f>1000*7/3</f>
        <v>2333.3333333333335</v>
      </c>
      <c r="E55" s="16">
        <f>D55</f>
        <v>2333.3333333333335</v>
      </c>
      <c r="F55" s="16">
        <f>E55</f>
        <v>2333.3333333333335</v>
      </c>
      <c r="G55" s="23">
        <f>SUM(D55:F55)</f>
        <v>7000</v>
      </c>
      <c r="H55" s="16">
        <v>1000</v>
      </c>
      <c r="I55" s="16">
        <f>1000*2</f>
        <v>2000</v>
      </c>
      <c r="J55" s="16">
        <f>I55</f>
        <v>2000</v>
      </c>
      <c r="K55" s="16">
        <f>J55</f>
        <v>2000</v>
      </c>
      <c r="L55" s="23">
        <f>SUM(H55:K55)</f>
        <v>7000</v>
      </c>
    </row>
    <row r="56" spans="1:12" s="179" customFormat="1" ht="51">
      <c r="A56" s="25"/>
      <c r="B56" s="26" t="s">
        <v>53</v>
      </c>
      <c r="C56" s="111" t="s">
        <v>352</v>
      </c>
      <c r="D56" s="16">
        <f>600*11/3</f>
        <v>2200</v>
      </c>
      <c r="E56" s="16">
        <f>D56</f>
        <v>2200</v>
      </c>
      <c r="F56" s="16">
        <f>E56</f>
        <v>2200</v>
      </c>
      <c r="G56" s="178">
        <f>SUM(D56:F56)</f>
        <v>6600</v>
      </c>
      <c r="H56" s="46">
        <f>600*2</f>
        <v>1200</v>
      </c>
      <c r="I56" s="46">
        <f>600*3</f>
        <v>1800</v>
      </c>
      <c r="J56" s="46">
        <f>I56</f>
        <v>1800</v>
      </c>
      <c r="K56" s="46">
        <f>J56</f>
        <v>1800</v>
      </c>
      <c r="L56" s="178">
        <f>SUM(H56:K56)</f>
        <v>6600</v>
      </c>
    </row>
    <row r="57" spans="1:12" s="3" customFormat="1" ht="12.75">
      <c r="A57" s="25"/>
      <c r="B57" s="39" t="s">
        <v>55</v>
      </c>
      <c r="C57" s="102" t="s">
        <v>138</v>
      </c>
      <c r="D57" s="17">
        <f aca="true" t="shared" si="12" ref="D57:L57">SUM(D55:D56)</f>
        <v>4533.333333333334</v>
      </c>
      <c r="E57" s="17">
        <f t="shared" si="12"/>
        <v>4533.333333333334</v>
      </c>
      <c r="F57" s="17">
        <f t="shared" si="12"/>
        <v>4533.333333333334</v>
      </c>
      <c r="G57" s="17">
        <f t="shared" si="12"/>
        <v>13600</v>
      </c>
      <c r="H57" s="17">
        <f t="shared" si="12"/>
        <v>2200</v>
      </c>
      <c r="I57" s="17">
        <f t="shared" si="12"/>
        <v>3800</v>
      </c>
      <c r="J57" s="17">
        <f t="shared" si="12"/>
        <v>3800</v>
      </c>
      <c r="K57" s="17">
        <f t="shared" si="12"/>
        <v>3800</v>
      </c>
      <c r="L57" s="17">
        <f t="shared" si="12"/>
        <v>13600</v>
      </c>
    </row>
    <row r="58" spans="1:12" s="3" customFormat="1" ht="12.75">
      <c r="A58" s="35"/>
      <c r="B58" s="36">
        <v>3999</v>
      </c>
      <c r="C58" s="107" t="s">
        <v>29</v>
      </c>
      <c r="D58" s="17">
        <f aca="true" t="shared" si="13" ref="D58:L58">+D49+D53+D57</f>
        <v>4533.333333333334</v>
      </c>
      <c r="E58" s="17">
        <f t="shared" si="13"/>
        <v>4533.333333333334</v>
      </c>
      <c r="F58" s="17">
        <f t="shared" si="13"/>
        <v>4533.333333333334</v>
      </c>
      <c r="G58" s="17">
        <f t="shared" si="13"/>
        <v>13600</v>
      </c>
      <c r="H58" s="17">
        <f t="shared" si="13"/>
        <v>2200</v>
      </c>
      <c r="I58" s="17">
        <f t="shared" si="13"/>
        <v>3800</v>
      </c>
      <c r="J58" s="17">
        <f t="shared" si="13"/>
        <v>3800</v>
      </c>
      <c r="K58" s="17">
        <f t="shared" si="13"/>
        <v>3800</v>
      </c>
      <c r="L58" s="17">
        <f t="shared" si="13"/>
        <v>13600</v>
      </c>
    </row>
    <row r="59" spans="1:12" s="3" customFormat="1" ht="12.75">
      <c r="A59" s="80">
        <v>40</v>
      </c>
      <c r="B59" s="86" t="s">
        <v>127</v>
      </c>
      <c r="C59" s="108"/>
      <c r="D59" s="61"/>
      <c r="E59" s="61"/>
      <c r="F59" s="61"/>
      <c r="G59" s="62"/>
      <c r="H59" s="63"/>
      <c r="I59" s="61"/>
      <c r="J59" s="61"/>
      <c r="K59" s="61"/>
      <c r="L59" s="64"/>
    </row>
    <row r="60" spans="1:12" s="3" customFormat="1" ht="12.75">
      <c r="A60" s="22"/>
      <c r="B60" s="76" t="s">
        <v>56</v>
      </c>
      <c r="C60" s="99" t="s">
        <v>103</v>
      </c>
      <c r="D60" s="81"/>
      <c r="E60" s="81"/>
      <c r="F60" s="81"/>
      <c r="G60" s="82"/>
      <c r="H60" s="83"/>
      <c r="I60" s="81"/>
      <c r="J60" s="81"/>
      <c r="K60" s="81"/>
      <c r="L60" s="82"/>
    </row>
    <row r="61" spans="1:12" s="3" customFormat="1" ht="12.75">
      <c r="A61" s="54"/>
      <c r="B61" s="55"/>
      <c r="C61" s="100" t="s">
        <v>121</v>
      </c>
      <c r="D61" s="70"/>
      <c r="E61" s="70"/>
      <c r="F61" s="70"/>
      <c r="G61" s="65"/>
      <c r="H61" s="71"/>
      <c r="I61" s="70"/>
      <c r="J61" s="70"/>
      <c r="K61" s="70"/>
      <c r="L61" s="65"/>
    </row>
    <row r="62" spans="1:12" s="3" customFormat="1" ht="12.75">
      <c r="A62" s="25"/>
      <c r="B62" s="26" t="s">
        <v>57</v>
      </c>
      <c r="C62" s="111"/>
      <c r="D62" s="16"/>
      <c r="E62" s="16"/>
      <c r="F62" s="16"/>
      <c r="G62" s="23">
        <f>SUM(D62:F62)</f>
        <v>0</v>
      </c>
      <c r="H62" s="46"/>
      <c r="I62" s="16"/>
      <c r="J62" s="16"/>
      <c r="K62" s="16"/>
      <c r="L62" s="23">
        <f>SUM(H62:K62)</f>
        <v>0</v>
      </c>
    </row>
    <row r="63" spans="1:12" s="3" customFormat="1" ht="12.75">
      <c r="A63" s="25"/>
      <c r="B63" s="39" t="s">
        <v>63</v>
      </c>
      <c r="C63" s="102" t="s">
        <v>4</v>
      </c>
      <c r="D63" s="17">
        <f aca="true" t="shared" si="14" ref="D63:L63">SUM(D62:D62)</f>
        <v>0</v>
      </c>
      <c r="E63" s="17">
        <f t="shared" si="14"/>
        <v>0</v>
      </c>
      <c r="F63" s="17">
        <f t="shared" si="14"/>
        <v>0</v>
      </c>
      <c r="G63" s="17">
        <f t="shared" si="14"/>
        <v>0</v>
      </c>
      <c r="H63" s="17">
        <f t="shared" si="14"/>
        <v>0</v>
      </c>
      <c r="I63" s="17">
        <f t="shared" si="14"/>
        <v>0</v>
      </c>
      <c r="J63" s="17">
        <f t="shared" si="14"/>
        <v>0</v>
      </c>
      <c r="K63" s="17">
        <f t="shared" si="14"/>
        <v>0</v>
      </c>
      <c r="L63" s="17">
        <f t="shared" si="14"/>
        <v>0</v>
      </c>
    </row>
    <row r="64" spans="1:12" s="3" customFormat="1" ht="12.75">
      <c r="A64" s="59"/>
      <c r="B64" s="72">
        <v>4200</v>
      </c>
      <c r="C64" s="104" t="s">
        <v>90</v>
      </c>
      <c r="D64" s="68"/>
      <c r="E64" s="68"/>
      <c r="F64" s="68"/>
      <c r="G64" s="64"/>
      <c r="H64" s="69"/>
      <c r="I64" s="68"/>
      <c r="J64" s="68"/>
      <c r="K64" s="68"/>
      <c r="L64" s="64"/>
    </row>
    <row r="65" spans="1:12" s="3" customFormat="1" ht="12.75">
      <c r="A65" s="54"/>
      <c r="B65" s="73"/>
      <c r="C65" s="109" t="s">
        <v>96</v>
      </c>
      <c r="D65" s="70"/>
      <c r="E65" s="70"/>
      <c r="F65" s="70"/>
      <c r="G65" s="65"/>
      <c r="H65" s="71"/>
      <c r="I65" s="70"/>
      <c r="J65" s="70"/>
      <c r="K65" s="70"/>
      <c r="L65" s="65"/>
    </row>
    <row r="66" spans="1:12" s="3" customFormat="1" ht="25.5">
      <c r="A66" s="25"/>
      <c r="B66" s="39" t="s">
        <v>64</v>
      </c>
      <c r="C66" s="111" t="s">
        <v>350</v>
      </c>
      <c r="D66" s="16">
        <v>500</v>
      </c>
      <c r="E66" s="16">
        <v>500</v>
      </c>
      <c r="F66" s="16">
        <v>900</v>
      </c>
      <c r="G66" s="23">
        <f>SUM(D66:F66)</f>
        <v>1900</v>
      </c>
      <c r="H66" s="46">
        <f>G66</f>
        <v>1900</v>
      </c>
      <c r="I66" s="16"/>
      <c r="J66" s="16"/>
      <c r="K66" s="16"/>
      <c r="L66" s="23">
        <f>SUM(H66:K66)</f>
        <v>1900</v>
      </c>
    </row>
    <row r="67" spans="1:12" s="3" customFormat="1" ht="12.75">
      <c r="A67" s="25"/>
      <c r="B67" s="39" t="s">
        <v>66</v>
      </c>
      <c r="C67" s="102" t="s">
        <v>138</v>
      </c>
      <c r="D67" s="17">
        <f aca="true" t="shared" si="15" ref="D67:L67">SUM(D66:D66)</f>
        <v>500</v>
      </c>
      <c r="E67" s="17">
        <f t="shared" si="15"/>
        <v>500</v>
      </c>
      <c r="F67" s="17">
        <f t="shared" si="15"/>
        <v>900</v>
      </c>
      <c r="G67" s="17">
        <f t="shared" si="15"/>
        <v>1900</v>
      </c>
      <c r="H67" s="17">
        <f t="shared" si="15"/>
        <v>1900</v>
      </c>
      <c r="I67" s="17">
        <f t="shared" si="15"/>
        <v>0</v>
      </c>
      <c r="J67" s="17">
        <f t="shared" si="15"/>
        <v>0</v>
      </c>
      <c r="K67" s="17">
        <f t="shared" si="15"/>
        <v>0</v>
      </c>
      <c r="L67" s="17">
        <f t="shared" si="15"/>
        <v>1900</v>
      </c>
    </row>
    <row r="68" spans="1:12" s="3" customFormat="1" ht="12.75">
      <c r="A68" s="59"/>
      <c r="B68" s="72">
        <v>4300</v>
      </c>
      <c r="C68" s="104" t="s">
        <v>122</v>
      </c>
      <c r="D68" s="68"/>
      <c r="E68" s="68"/>
      <c r="F68" s="68"/>
      <c r="G68" s="64"/>
      <c r="H68" s="69"/>
      <c r="I68" s="68"/>
      <c r="J68" s="68"/>
      <c r="K68" s="68"/>
      <c r="L68" s="64"/>
    </row>
    <row r="69" spans="1:12" s="3" customFormat="1" ht="12.75">
      <c r="A69" s="54"/>
      <c r="B69" s="73"/>
      <c r="C69" s="109" t="s">
        <v>123</v>
      </c>
      <c r="D69" s="70"/>
      <c r="E69" s="70"/>
      <c r="F69" s="70"/>
      <c r="G69" s="65"/>
      <c r="H69" s="71"/>
      <c r="I69" s="70"/>
      <c r="J69" s="70"/>
      <c r="K69" s="70"/>
      <c r="L69" s="65"/>
    </row>
    <row r="70" spans="1:12" s="3" customFormat="1" ht="12.75">
      <c r="A70" s="25"/>
      <c r="B70" s="39" t="s">
        <v>67</v>
      </c>
      <c r="C70" s="102"/>
      <c r="D70" s="16"/>
      <c r="E70" s="16"/>
      <c r="F70" s="16"/>
      <c r="G70" s="23">
        <f>SUM(D70:F70)</f>
        <v>0</v>
      </c>
      <c r="H70" s="16"/>
      <c r="I70" s="16"/>
      <c r="J70" s="16"/>
      <c r="K70" s="16"/>
      <c r="L70" s="23">
        <f>SUM(H70:K70)</f>
        <v>0</v>
      </c>
    </row>
    <row r="71" spans="1:12" s="3" customFormat="1" ht="12.75">
      <c r="A71" s="25"/>
      <c r="B71" s="39" t="s">
        <v>68</v>
      </c>
      <c r="C71" s="102" t="s">
        <v>138</v>
      </c>
      <c r="D71" s="17">
        <f aca="true" t="shared" si="16" ref="D71:L71">SUM(D70:D70)</f>
        <v>0</v>
      </c>
      <c r="E71" s="17">
        <f t="shared" si="16"/>
        <v>0</v>
      </c>
      <c r="F71" s="17">
        <f t="shared" si="16"/>
        <v>0</v>
      </c>
      <c r="G71" s="17">
        <f t="shared" si="16"/>
        <v>0</v>
      </c>
      <c r="H71" s="17">
        <f t="shared" si="16"/>
        <v>0</v>
      </c>
      <c r="I71" s="17">
        <f t="shared" si="16"/>
        <v>0</v>
      </c>
      <c r="J71" s="17">
        <f t="shared" si="16"/>
        <v>0</v>
      </c>
      <c r="K71" s="17">
        <f t="shared" si="16"/>
        <v>0</v>
      </c>
      <c r="L71" s="17">
        <f t="shared" si="16"/>
        <v>0</v>
      </c>
    </row>
    <row r="72" spans="1:12" s="3" customFormat="1" ht="12.75">
      <c r="A72" s="35"/>
      <c r="B72" s="36">
        <v>4999</v>
      </c>
      <c r="C72" s="107" t="s">
        <v>29</v>
      </c>
      <c r="D72" s="17">
        <f>+D63+D67+D71</f>
        <v>500</v>
      </c>
      <c r="E72" s="17">
        <f>+E63+E67+E71</f>
        <v>500</v>
      </c>
      <c r="F72" s="17">
        <f>+F63+F67+F71</f>
        <v>900</v>
      </c>
      <c r="G72" s="17">
        <f>+G63+G67+G71</f>
        <v>1900</v>
      </c>
      <c r="H72" s="17">
        <f>G72</f>
        <v>1900</v>
      </c>
      <c r="I72" s="17">
        <f>+I63+I67+I71</f>
        <v>0</v>
      </c>
      <c r="J72" s="17">
        <f>+J63+J67+J71</f>
        <v>0</v>
      </c>
      <c r="K72" s="17">
        <f>+K63+K67+K71</f>
        <v>0</v>
      </c>
      <c r="L72" s="17">
        <f>+L63+L67+L71</f>
        <v>1900</v>
      </c>
    </row>
    <row r="73" spans="1:12" s="3" customFormat="1" ht="12.75">
      <c r="A73" s="80">
        <v>50</v>
      </c>
      <c r="B73" s="74" t="s">
        <v>69</v>
      </c>
      <c r="C73" s="108"/>
      <c r="D73" s="61"/>
      <c r="E73" s="61"/>
      <c r="F73" s="61"/>
      <c r="G73" s="62"/>
      <c r="H73" s="63"/>
      <c r="I73" s="61"/>
      <c r="J73" s="61"/>
      <c r="K73" s="61"/>
      <c r="L73" s="64"/>
    </row>
    <row r="74" spans="1:12" s="3" customFormat="1" ht="12.75">
      <c r="A74" s="22"/>
      <c r="B74" s="85" t="s">
        <v>70</v>
      </c>
      <c r="C74" s="99" t="s">
        <v>107</v>
      </c>
      <c r="D74" s="77"/>
      <c r="E74" s="77"/>
      <c r="F74" s="77"/>
      <c r="G74" s="78"/>
      <c r="H74" s="79"/>
      <c r="I74" s="77"/>
      <c r="J74" s="77"/>
      <c r="K74" s="77"/>
      <c r="L74" s="82"/>
    </row>
    <row r="75" spans="1:12" s="3" customFormat="1" ht="12.75">
      <c r="A75" s="54"/>
      <c r="B75" s="75"/>
      <c r="C75" s="100" t="s">
        <v>97</v>
      </c>
      <c r="D75" s="56"/>
      <c r="E75" s="56"/>
      <c r="F75" s="56"/>
      <c r="G75" s="57"/>
      <c r="H75" s="58"/>
      <c r="I75" s="56"/>
      <c r="J75" s="56"/>
      <c r="K75" s="56"/>
      <c r="L75" s="65"/>
    </row>
    <row r="76" spans="1:12" s="3" customFormat="1" ht="12.75">
      <c r="A76" s="25"/>
      <c r="B76" s="26" t="s">
        <v>71</v>
      </c>
      <c r="C76" s="111"/>
      <c r="D76" s="16"/>
      <c r="E76" s="16"/>
      <c r="F76" s="16"/>
      <c r="G76" s="23">
        <f>SUM(D76:F76)</f>
        <v>0</v>
      </c>
      <c r="H76" s="46"/>
      <c r="I76" s="16"/>
      <c r="J76" s="16"/>
      <c r="K76" s="16"/>
      <c r="L76" s="23">
        <f>SUM(H76:K76)</f>
        <v>0</v>
      </c>
    </row>
    <row r="77" spans="1:12" s="3" customFormat="1" ht="12.75">
      <c r="A77" s="25"/>
      <c r="B77" s="39" t="s">
        <v>76</v>
      </c>
      <c r="C77" s="102" t="s">
        <v>138</v>
      </c>
      <c r="D77" s="17">
        <f aca="true" t="shared" si="17" ref="D77:L77">SUM(D76:D76)</f>
        <v>0</v>
      </c>
      <c r="E77" s="17">
        <f t="shared" si="17"/>
        <v>0</v>
      </c>
      <c r="F77" s="17">
        <f t="shared" si="17"/>
        <v>0</v>
      </c>
      <c r="G77" s="17">
        <f t="shared" si="17"/>
        <v>0</v>
      </c>
      <c r="H77" s="17">
        <f t="shared" si="17"/>
        <v>0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</row>
    <row r="78" spans="1:12" s="3" customFormat="1" ht="12.75">
      <c r="A78" s="59"/>
      <c r="B78" s="72">
        <v>5200</v>
      </c>
      <c r="C78" s="104" t="s">
        <v>129</v>
      </c>
      <c r="D78" s="68"/>
      <c r="E78" s="68"/>
      <c r="F78" s="68"/>
      <c r="G78" s="64"/>
      <c r="H78" s="69"/>
      <c r="I78" s="68"/>
      <c r="J78" s="68"/>
      <c r="K78" s="68"/>
      <c r="L78" s="64"/>
    </row>
    <row r="79" spans="1:12" s="3" customFormat="1" ht="12.75">
      <c r="A79" s="54"/>
      <c r="B79" s="73"/>
      <c r="C79" s="109" t="s">
        <v>98</v>
      </c>
      <c r="D79" s="70"/>
      <c r="E79" s="70"/>
      <c r="F79" s="70"/>
      <c r="G79" s="65"/>
      <c r="H79" s="71"/>
      <c r="I79" s="70"/>
      <c r="J79" s="70"/>
      <c r="K79" s="70"/>
      <c r="L79" s="65"/>
    </row>
    <row r="80" spans="1:12" s="3" customFormat="1" ht="12.75">
      <c r="A80" s="25"/>
      <c r="B80" s="39" t="s">
        <v>77</v>
      </c>
      <c r="C80" s="102"/>
      <c r="D80" s="16"/>
      <c r="E80" s="16"/>
      <c r="F80" s="16"/>
      <c r="G80" s="23">
        <f>SUM(D80:F80)</f>
        <v>0</v>
      </c>
      <c r="H80" s="46"/>
      <c r="I80" s="16"/>
      <c r="J80" s="16"/>
      <c r="K80" s="16"/>
      <c r="L80" s="23">
        <f>SUM(H80:K80)</f>
        <v>0</v>
      </c>
    </row>
    <row r="81" spans="1:12" s="3" customFormat="1" ht="12.75">
      <c r="A81" s="25"/>
      <c r="B81" s="39" t="s">
        <v>79</v>
      </c>
      <c r="C81" s="102" t="s">
        <v>138</v>
      </c>
      <c r="D81" s="17">
        <f aca="true" t="shared" si="18" ref="D81:L81">SUM(D80:D80)</f>
        <v>0</v>
      </c>
      <c r="E81" s="17">
        <f t="shared" si="18"/>
        <v>0</v>
      </c>
      <c r="F81" s="17">
        <f t="shared" si="18"/>
        <v>0</v>
      </c>
      <c r="G81" s="17">
        <f t="shared" si="18"/>
        <v>0</v>
      </c>
      <c r="H81" s="17">
        <f t="shared" si="18"/>
        <v>0</v>
      </c>
      <c r="I81" s="17">
        <f t="shared" si="18"/>
        <v>0</v>
      </c>
      <c r="J81" s="17">
        <f t="shared" si="18"/>
        <v>0</v>
      </c>
      <c r="K81" s="17">
        <f t="shared" si="18"/>
        <v>0</v>
      </c>
      <c r="L81" s="17">
        <f t="shared" si="18"/>
        <v>0</v>
      </c>
    </row>
    <row r="82" spans="1:12" s="3" customFormat="1" ht="12.75">
      <c r="A82" s="59"/>
      <c r="B82" s="72">
        <v>5300</v>
      </c>
      <c r="C82" s="104" t="s">
        <v>124</v>
      </c>
      <c r="D82" s="68"/>
      <c r="E82" s="68"/>
      <c r="F82" s="68"/>
      <c r="G82" s="64"/>
      <c r="H82" s="69"/>
      <c r="I82" s="68"/>
      <c r="J82" s="68"/>
      <c r="K82" s="68"/>
      <c r="L82" s="64"/>
    </row>
    <row r="83" spans="1:12" s="3" customFormat="1" ht="12.75">
      <c r="A83" s="54"/>
      <c r="B83" s="73"/>
      <c r="C83" s="109" t="s">
        <v>130</v>
      </c>
      <c r="D83" s="16"/>
      <c r="E83" s="70"/>
      <c r="F83" s="70"/>
      <c r="G83" s="65"/>
      <c r="H83" s="71"/>
      <c r="I83" s="70"/>
      <c r="J83" s="70"/>
      <c r="K83" s="70"/>
      <c r="L83" s="65"/>
    </row>
    <row r="84" spans="1:12" s="3" customFormat="1" ht="12.75">
      <c r="A84" s="25"/>
      <c r="B84" s="39" t="s">
        <v>80</v>
      </c>
      <c r="C84" s="102"/>
      <c r="D84" s="16"/>
      <c r="E84" s="16"/>
      <c r="F84" s="16"/>
      <c r="G84" s="23">
        <f>SUM(D84:F84)</f>
        <v>0</v>
      </c>
      <c r="H84" s="46"/>
      <c r="I84" s="16"/>
      <c r="J84" s="16"/>
      <c r="K84" s="16"/>
      <c r="L84" s="23">
        <f>SUM(H84:K84)</f>
        <v>0</v>
      </c>
    </row>
    <row r="85" spans="1:12" s="3" customFormat="1" ht="12.75">
      <c r="A85" s="25"/>
      <c r="B85" s="39" t="s">
        <v>83</v>
      </c>
      <c r="C85" s="102" t="s">
        <v>138</v>
      </c>
      <c r="D85" s="17">
        <f aca="true" t="shared" si="19" ref="D85:L85">SUM(D84:D84)</f>
        <v>0</v>
      </c>
      <c r="E85" s="17">
        <f t="shared" si="19"/>
        <v>0</v>
      </c>
      <c r="F85" s="17">
        <f t="shared" si="19"/>
        <v>0</v>
      </c>
      <c r="G85" s="17">
        <f t="shared" si="19"/>
        <v>0</v>
      </c>
      <c r="H85" s="17">
        <f t="shared" si="19"/>
        <v>0</v>
      </c>
      <c r="I85" s="17">
        <f t="shared" si="19"/>
        <v>0</v>
      </c>
      <c r="J85" s="17">
        <f t="shared" si="19"/>
        <v>0</v>
      </c>
      <c r="K85" s="17">
        <f t="shared" si="19"/>
        <v>0</v>
      </c>
      <c r="L85" s="17">
        <f t="shared" si="19"/>
        <v>0</v>
      </c>
    </row>
    <row r="86" spans="1:12" s="3" customFormat="1" ht="12.75">
      <c r="A86" s="25"/>
      <c r="B86" s="41">
        <v>5400</v>
      </c>
      <c r="C86" s="106" t="s">
        <v>84</v>
      </c>
      <c r="D86" s="16"/>
      <c r="E86" s="16"/>
      <c r="F86" s="16"/>
      <c r="G86" s="23"/>
      <c r="H86" s="46"/>
      <c r="I86" s="16"/>
      <c r="J86" s="16"/>
      <c r="K86" s="16"/>
      <c r="L86" s="23"/>
    </row>
    <row r="87" spans="1:12" s="3" customFormat="1" ht="12.75">
      <c r="A87" s="25"/>
      <c r="B87" s="39" t="s">
        <v>85</v>
      </c>
      <c r="C87" s="102"/>
      <c r="D87" s="15"/>
      <c r="E87" s="15"/>
      <c r="F87" s="15"/>
      <c r="G87" s="23">
        <f>SUM(D87:F87)</f>
        <v>0</v>
      </c>
      <c r="H87" s="46"/>
      <c r="I87" s="16"/>
      <c r="J87" s="16"/>
      <c r="K87" s="16"/>
      <c r="L87" s="23">
        <f>SUM(H87:K87)</f>
        <v>0</v>
      </c>
    </row>
    <row r="88" spans="1:12" s="3" customFormat="1" ht="12.75">
      <c r="A88" s="25"/>
      <c r="B88" s="39" t="s">
        <v>86</v>
      </c>
      <c r="C88" s="102" t="s">
        <v>138</v>
      </c>
      <c r="D88" s="17">
        <f aca="true" t="shared" si="20" ref="D88:L88">SUM(D87:D87)</f>
        <v>0</v>
      </c>
      <c r="E88" s="17">
        <f t="shared" si="20"/>
        <v>0</v>
      </c>
      <c r="F88" s="17">
        <f t="shared" si="20"/>
        <v>0</v>
      </c>
      <c r="G88" s="17">
        <f t="shared" si="20"/>
        <v>0</v>
      </c>
      <c r="H88" s="17">
        <f t="shared" si="20"/>
        <v>0</v>
      </c>
      <c r="I88" s="17">
        <f t="shared" si="20"/>
        <v>0</v>
      </c>
      <c r="J88" s="17">
        <f t="shared" si="20"/>
        <v>0</v>
      </c>
      <c r="K88" s="17">
        <f t="shared" si="20"/>
        <v>0</v>
      </c>
      <c r="L88" s="17">
        <f t="shared" si="20"/>
        <v>0</v>
      </c>
    </row>
    <row r="89" spans="1:12" s="3" customFormat="1" ht="12.75">
      <c r="A89" s="59"/>
      <c r="B89" s="72">
        <v>5500</v>
      </c>
      <c r="C89" s="104" t="s">
        <v>125</v>
      </c>
      <c r="D89" s="61"/>
      <c r="E89" s="61"/>
      <c r="F89" s="61"/>
      <c r="G89" s="62"/>
      <c r="H89" s="63"/>
      <c r="I89" s="61"/>
      <c r="J89" s="61"/>
      <c r="K89" s="61"/>
      <c r="L89" s="64"/>
    </row>
    <row r="90" spans="1:12" s="3" customFormat="1" ht="12.75">
      <c r="A90" s="54"/>
      <c r="B90" s="73"/>
      <c r="C90" s="109" t="s">
        <v>132</v>
      </c>
      <c r="D90" s="56"/>
      <c r="E90" s="56"/>
      <c r="F90" s="56"/>
      <c r="G90" s="57"/>
      <c r="H90" s="58"/>
      <c r="I90" s="56"/>
      <c r="J90" s="56"/>
      <c r="K90" s="56"/>
      <c r="L90" s="65"/>
    </row>
    <row r="91" spans="1:12" s="3" customFormat="1" ht="12.75">
      <c r="A91" s="25"/>
      <c r="B91" s="39" t="s">
        <v>87</v>
      </c>
      <c r="C91" s="101"/>
      <c r="D91" s="16"/>
      <c r="E91" s="16"/>
      <c r="F91" s="16"/>
      <c r="G91" s="23">
        <f>SUM(D91:F91)</f>
        <v>0</v>
      </c>
      <c r="H91" s="46"/>
      <c r="I91" s="16"/>
      <c r="J91" s="16"/>
      <c r="K91" s="16"/>
      <c r="L91" s="23">
        <f>SUM(H91:K91)</f>
        <v>0</v>
      </c>
    </row>
    <row r="92" spans="1:12" s="3" customFormat="1" ht="12.75">
      <c r="A92" s="25"/>
      <c r="B92" s="39" t="s">
        <v>89</v>
      </c>
      <c r="C92" s="102" t="s">
        <v>138</v>
      </c>
      <c r="D92" s="17">
        <f aca="true" t="shared" si="21" ref="D92:L92">SUM(D91:D91)</f>
        <v>0</v>
      </c>
      <c r="E92" s="17">
        <f t="shared" si="21"/>
        <v>0</v>
      </c>
      <c r="F92" s="17">
        <f t="shared" si="21"/>
        <v>0</v>
      </c>
      <c r="G92" s="17">
        <f t="shared" si="21"/>
        <v>0</v>
      </c>
      <c r="H92" s="17">
        <f t="shared" si="21"/>
        <v>0</v>
      </c>
      <c r="I92" s="17">
        <f t="shared" si="21"/>
        <v>0</v>
      </c>
      <c r="J92" s="17">
        <f t="shared" si="21"/>
        <v>0</v>
      </c>
      <c r="K92" s="17">
        <f t="shared" si="21"/>
        <v>0</v>
      </c>
      <c r="L92" s="17">
        <f t="shared" si="21"/>
        <v>0</v>
      </c>
    </row>
    <row r="93" spans="1:12" s="3" customFormat="1" ht="12.75">
      <c r="A93" s="35"/>
      <c r="B93" s="36">
        <v>5999</v>
      </c>
      <c r="C93" s="107" t="s">
        <v>29</v>
      </c>
      <c r="D93" s="17">
        <f aca="true" t="shared" si="22" ref="D93:L93">+D77+D81+D85+D88+D92</f>
        <v>0</v>
      </c>
      <c r="E93" s="17">
        <f t="shared" si="22"/>
        <v>0</v>
      </c>
      <c r="F93" s="17">
        <f t="shared" si="22"/>
        <v>0</v>
      </c>
      <c r="G93" s="17">
        <f t="shared" si="22"/>
        <v>0</v>
      </c>
      <c r="H93" s="17">
        <f t="shared" si="22"/>
        <v>0</v>
      </c>
      <c r="I93" s="17">
        <f t="shared" si="22"/>
        <v>0</v>
      </c>
      <c r="J93" s="17">
        <f t="shared" si="22"/>
        <v>0</v>
      </c>
      <c r="K93" s="17">
        <f t="shared" si="22"/>
        <v>0</v>
      </c>
      <c r="L93" s="17">
        <f t="shared" si="22"/>
        <v>0</v>
      </c>
    </row>
    <row r="94" spans="1:12" s="3" customFormat="1" ht="12.75">
      <c r="A94" s="22"/>
      <c r="B94" s="19"/>
      <c r="C94" s="112"/>
      <c r="D94" s="15"/>
      <c r="E94" s="15"/>
      <c r="F94" s="15"/>
      <c r="G94" s="48"/>
      <c r="H94" s="27"/>
      <c r="I94" s="15"/>
      <c r="J94" s="15"/>
      <c r="K94" s="15"/>
      <c r="L94" s="37"/>
    </row>
    <row r="95" spans="1:12" s="3" customFormat="1" ht="13.5" thickBot="1">
      <c r="A95" s="49"/>
      <c r="B95" s="50" t="s">
        <v>136</v>
      </c>
      <c r="C95" s="113"/>
      <c r="D95" s="24">
        <f aca="true" t="shared" si="23" ref="D95:L95">+D31+D44+D58+D72+D93</f>
        <v>12033.333333333334</v>
      </c>
      <c r="E95" s="24">
        <f t="shared" si="23"/>
        <v>12033.333333333334</v>
      </c>
      <c r="F95" s="24">
        <f t="shared" si="23"/>
        <v>12433.333333333334</v>
      </c>
      <c r="G95" s="24">
        <f t="shared" si="23"/>
        <v>36500</v>
      </c>
      <c r="H95" s="24">
        <f t="shared" si="23"/>
        <v>7100</v>
      </c>
      <c r="I95" s="24">
        <f t="shared" si="23"/>
        <v>9800</v>
      </c>
      <c r="J95" s="24">
        <f t="shared" si="23"/>
        <v>9800</v>
      </c>
      <c r="K95" s="24">
        <f t="shared" si="23"/>
        <v>9800</v>
      </c>
      <c r="L95" s="24">
        <f t="shared" si="23"/>
        <v>36500</v>
      </c>
    </row>
    <row r="96" spans="1:12" s="3" customFormat="1" ht="12.75">
      <c r="A96" s="5"/>
      <c r="B96" s="9"/>
      <c r="C96" s="96"/>
      <c r="D96" s="2"/>
      <c r="E96" s="2"/>
      <c r="F96" s="2"/>
      <c r="G96" s="2"/>
      <c r="H96" s="2"/>
      <c r="I96" s="2"/>
      <c r="J96" s="2"/>
      <c r="K96" s="2"/>
      <c r="L96" s="2"/>
    </row>
    <row r="97" spans="1:12" s="3" customFormat="1" ht="12.75">
      <c r="A97" s="5"/>
      <c r="B97" s="9"/>
      <c r="C97" s="96"/>
      <c r="D97" s="2"/>
      <c r="E97" s="2"/>
      <c r="F97" s="2"/>
      <c r="G97" s="180">
        <f>G95-G72</f>
        <v>34600</v>
      </c>
      <c r="H97" s="2"/>
      <c r="I97" s="2"/>
      <c r="J97" s="2"/>
      <c r="K97" s="2"/>
      <c r="L97" s="2"/>
    </row>
    <row r="98" spans="1:12" s="3" customFormat="1" ht="12.75">
      <c r="A98" s="5"/>
      <c r="B98" s="9"/>
      <c r="C98" s="96"/>
      <c r="D98" s="2"/>
      <c r="E98" s="2"/>
      <c r="F98" s="2"/>
      <c r="G98" s="2">
        <f>G97/7</f>
        <v>4942.857142857143</v>
      </c>
      <c r="H98" s="2">
        <f>G98+G67</f>
        <v>6842.857142857143</v>
      </c>
      <c r="I98" s="2"/>
      <c r="J98" s="2"/>
      <c r="K98" s="2"/>
      <c r="L98" s="2"/>
    </row>
    <row r="99" spans="1:12" s="3" customFormat="1" ht="12.75">
      <c r="A99" s="5"/>
      <c r="B99" s="9"/>
      <c r="C99" s="96"/>
      <c r="D99" s="2"/>
      <c r="E99" s="2"/>
      <c r="F99" s="2"/>
      <c r="G99" s="2">
        <f>G98*6</f>
        <v>29657.14285714286</v>
      </c>
      <c r="H99" s="2"/>
      <c r="I99" s="2"/>
      <c r="J99" s="2"/>
      <c r="K99" s="2"/>
      <c r="L99" s="2"/>
    </row>
    <row r="100" spans="1:12" s="3" customFormat="1" ht="12.75">
      <c r="A100" s="5"/>
      <c r="B100" s="9"/>
      <c r="C100" s="96"/>
      <c r="D100" s="2"/>
      <c r="E100" s="2"/>
      <c r="F100" s="2"/>
      <c r="G100" s="2">
        <f>G99+H98</f>
        <v>36500</v>
      </c>
      <c r="H100" s="2"/>
      <c r="I100" s="2"/>
      <c r="J100" s="2"/>
      <c r="K100" s="2"/>
      <c r="L100" s="2"/>
    </row>
    <row r="101" spans="1:12" s="3" customFormat="1" ht="12.75">
      <c r="A101" s="5"/>
      <c r="B101" s="9"/>
      <c r="C101" s="96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3" customFormat="1" ht="12.75">
      <c r="A102" s="5"/>
      <c r="B102" s="9"/>
      <c r="C102" s="9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s="3" customFormat="1" ht="12.75">
      <c r="A103" s="5"/>
      <c r="B103" s="9"/>
      <c r="C103" s="9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3" customFormat="1" ht="12.75">
      <c r="A104" s="5"/>
      <c r="B104" s="9"/>
      <c r="C104" s="96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3" customFormat="1" ht="12.75">
      <c r="A105" s="5"/>
      <c r="B105" s="9"/>
      <c r="C105" s="96"/>
      <c r="D105" s="2"/>
      <c r="E105" s="2"/>
      <c r="F105" s="2"/>
      <c r="G105" s="2"/>
      <c r="H105" s="2"/>
      <c r="I105" s="2"/>
      <c r="J105" s="2"/>
      <c r="K105" s="2"/>
      <c r="L105" s="2"/>
    </row>
    <row r="106" spans="1:12" s="3" customFormat="1" ht="12.75">
      <c r="A106" s="5"/>
      <c r="B106" s="9"/>
      <c r="C106" s="96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3" customFormat="1" ht="12.75">
      <c r="A107" s="5"/>
      <c r="B107" s="9"/>
      <c r="C107" s="96"/>
      <c r="D107" s="2"/>
      <c r="E107" s="2"/>
      <c r="F107" s="2"/>
      <c r="G107" s="2"/>
      <c r="H107" s="2"/>
      <c r="I107" s="2"/>
      <c r="J107" s="2"/>
      <c r="K107" s="2"/>
      <c r="L107" s="2"/>
    </row>
    <row r="108" spans="1:12" s="3" customFormat="1" ht="12.75">
      <c r="A108" s="5"/>
      <c r="B108" s="9"/>
      <c r="C108" s="96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7"/>
      <c r="B109" s="10"/>
      <c r="C109" s="114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7"/>
      <c r="B110" s="10"/>
      <c r="C110" s="114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7"/>
      <c r="B111" s="10"/>
      <c r="C111" s="114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7"/>
      <c r="B112" s="10"/>
      <c r="C112" s="114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7"/>
      <c r="B113" s="10"/>
      <c r="C113" s="114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7"/>
      <c r="B114" s="10"/>
      <c r="C114" s="114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7"/>
      <c r="B115" s="10"/>
      <c r="C115" s="114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7"/>
      <c r="B116" s="10"/>
      <c r="C116" s="114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7"/>
      <c r="B117" s="10"/>
      <c r="C117" s="114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7"/>
      <c r="B118" s="10"/>
      <c r="C118" s="114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7"/>
      <c r="B119" s="10"/>
      <c r="C119" s="114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7"/>
      <c r="B120" s="10"/>
      <c r="C120" s="114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7"/>
      <c r="B121" s="10"/>
      <c r="C121" s="114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7"/>
      <c r="B122" s="10"/>
      <c r="C122" s="114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7"/>
      <c r="B123" s="10"/>
      <c r="C123" s="114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7"/>
      <c r="B124" s="10"/>
      <c r="C124" s="114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7"/>
      <c r="B125" s="10"/>
      <c r="C125" s="114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7"/>
      <c r="B126" s="10"/>
      <c r="C126" s="114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7"/>
      <c r="B127" s="10"/>
      <c r="C127" s="114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7"/>
      <c r="B128" s="10"/>
      <c r="C128" s="114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7"/>
      <c r="B129" s="10"/>
      <c r="C129" s="114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7"/>
      <c r="B130" s="10"/>
      <c r="C130" s="114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7"/>
      <c r="B131" s="10"/>
      <c r="C131" s="114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7"/>
      <c r="B132" s="10"/>
      <c r="C132" s="114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7"/>
      <c r="B133" s="10"/>
      <c r="C133" s="114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7"/>
      <c r="B134" s="10"/>
      <c r="C134" s="114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7"/>
      <c r="B135" s="10"/>
      <c r="C135" s="114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7"/>
      <c r="B136" s="10"/>
      <c r="C136" s="114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7"/>
      <c r="B137" s="10"/>
      <c r="C137" s="114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7"/>
      <c r="B138" s="10"/>
      <c r="C138" s="114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7"/>
      <c r="B139" s="10"/>
      <c r="C139" s="114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7"/>
      <c r="B140" s="10"/>
      <c r="C140" s="114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7"/>
      <c r="B141" s="10"/>
      <c r="C141" s="114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7"/>
      <c r="B142" s="10"/>
      <c r="C142" s="114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7"/>
      <c r="B143" s="10"/>
      <c r="C143" s="114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7"/>
      <c r="B292" s="10"/>
      <c r="C292" s="114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7"/>
      <c r="B293" s="10"/>
      <c r="C293" s="114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7"/>
      <c r="B294" s="10"/>
      <c r="C294" s="114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7"/>
      <c r="B295" s="10"/>
      <c r="C295" s="114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7"/>
      <c r="B296" s="10"/>
      <c r="C296" s="114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7"/>
      <c r="B297" s="10"/>
      <c r="C297" s="114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7"/>
      <c r="B298" s="10"/>
      <c r="C298" s="114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7"/>
      <c r="B299" s="10"/>
      <c r="C299" s="114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7"/>
      <c r="B300" s="10"/>
      <c r="C300" s="114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7"/>
      <c r="B301" s="10"/>
      <c r="C301" s="114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7"/>
      <c r="B302" s="10"/>
      <c r="C302" s="114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7"/>
      <c r="B303" s="10"/>
      <c r="C303" s="114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7"/>
      <c r="B304" s="10"/>
      <c r="C304" s="114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7"/>
      <c r="B305" s="10"/>
      <c r="C305" s="114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7"/>
      <c r="B306" s="10"/>
      <c r="C306" s="114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7"/>
      <c r="B307" s="10"/>
      <c r="C307" s="114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7"/>
      <c r="B308" s="10"/>
      <c r="C308" s="114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7"/>
      <c r="B309" s="10"/>
      <c r="C309" s="114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7"/>
      <c r="B310" s="10"/>
      <c r="C310" s="114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7"/>
      <c r="B311" s="10"/>
      <c r="C311" s="114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7"/>
      <c r="B312" s="10"/>
      <c r="C312" s="114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7"/>
      <c r="B313" s="10"/>
      <c r="C313" s="114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7"/>
      <c r="B314" s="10"/>
      <c r="C314" s="114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7"/>
      <c r="B315" s="10"/>
      <c r="C315" s="114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7"/>
      <c r="B316" s="10"/>
      <c r="C316" s="114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7"/>
      <c r="B317" s="10"/>
      <c r="C317" s="114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7"/>
      <c r="B318" s="10"/>
      <c r="C318" s="114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7"/>
      <c r="B319" s="10"/>
      <c r="C319" s="114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7"/>
      <c r="B320" s="10"/>
      <c r="C320" s="114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7"/>
      <c r="B321" s="10"/>
      <c r="C321" s="114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7"/>
      <c r="B322" s="10"/>
      <c r="C322" s="114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7"/>
      <c r="B323" s="10"/>
      <c r="C323" s="114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7"/>
      <c r="B324" s="10"/>
      <c r="C324" s="114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7"/>
      <c r="B325" s="10"/>
      <c r="C325" s="114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7"/>
      <c r="B326" s="10"/>
      <c r="C326" s="114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7"/>
      <c r="B327" s="10"/>
      <c r="C327" s="114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7"/>
      <c r="B328" s="10"/>
      <c r="C328" s="114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7"/>
      <c r="B329" s="10"/>
      <c r="C329" s="114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7"/>
      <c r="B330" s="10"/>
      <c r="C330" s="114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7"/>
      <c r="B331" s="10"/>
      <c r="C331" s="114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7"/>
      <c r="B332" s="10"/>
      <c r="C332" s="114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7"/>
      <c r="B333" s="10"/>
      <c r="C333" s="114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7"/>
      <c r="B334" s="10"/>
      <c r="C334" s="114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7"/>
      <c r="B335" s="10"/>
      <c r="C335" s="114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7"/>
      <c r="B336" s="10"/>
      <c r="C336" s="114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7"/>
      <c r="B337" s="10"/>
      <c r="C337" s="114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7"/>
      <c r="B338" s="10"/>
      <c r="C338" s="114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7"/>
      <c r="B339" s="10"/>
      <c r="C339" s="114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7"/>
      <c r="B340" s="10"/>
      <c r="C340" s="114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7"/>
      <c r="B341" s="10"/>
      <c r="C341" s="114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7"/>
      <c r="B342" s="10"/>
      <c r="C342" s="114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7"/>
      <c r="B343" s="10"/>
      <c r="C343" s="114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7"/>
      <c r="B344" s="10"/>
      <c r="C344" s="114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7"/>
      <c r="B345" s="10"/>
      <c r="C345" s="114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7"/>
      <c r="B346" s="10"/>
      <c r="C346" s="114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7"/>
      <c r="B347" s="10"/>
      <c r="C347" s="114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7"/>
      <c r="B348" s="10"/>
      <c r="C348" s="114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7"/>
      <c r="B349" s="10"/>
      <c r="C349" s="114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7"/>
      <c r="B350" s="10"/>
      <c r="C350" s="114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7"/>
      <c r="B351" s="10"/>
      <c r="C351" s="114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7"/>
      <c r="B352" s="10"/>
      <c r="C352" s="114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7"/>
      <c r="B353" s="10"/>
      <c r="C353" s="114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7"/>
      <c r="B354" s="10"/>
      <c r="C354" s="114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7"/>
      <c r="B355" s="10"/>
      <c r="C355" s="114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7"/>
      <c r="B356" s="10"/>
      <c r="C356" s="114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7"/>
      <c r="B357" s="10"/>
      <c r="C357" s="114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7"/>
      <c r="B358" s="10"/>
      <c r="C358" s="114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7"/>
      <c r="B359" s="10"/>
      <c r="C359" s="114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7"/>
      <c r="B360" s="10"/>
      <c r="C360" s="114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7"/>
      <c r="B361" s="10"/>
      <c r="C361" s="114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7"/>
      <c r="B362" s="10"/>
      <c r="C362" s="114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7"/>
      <c r="B363" s="10"/>
      <c r="C363" s="114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7"/>
      <c r="B364" s="10"/>
      <c r="C364" s="114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7"/>
      <c r="B365" s="10"/>
      <c r="C365" s="114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7"/>
      <c r="B366" s="10"/>
      <c r="C366" s="114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7"/>
      <c r="B367" s="10"/>
      <c r="C367" s="114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7"/>
      <c r="B368" s="10"/>
      <c r="C368" s="114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7"/>
      <c r="B369" s="10"/>
      <c r="C369" s="114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7"/>
      <c r="B370" s="10"/>
      <c r="C370" s="114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7"/>
      <c r="B371" s="10"/>
      <c r="C371" s="114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7"/>
      <c r="B372" s="10"/>
      <c r="C372" s="114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7"/>
      <c r="B373" s="10"/>
      <c r="C373" s="114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7"/>
      <c r="B374" s="10"/>
      <c r="C374" s="114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7"/>
      <c r="B375" s="10"/>
      <c r="C375" s="114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7"/>
      <c r="B376" s="10"/>
      <c r="C376" s="114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7"/>
      <c r="B377" s="10"/>
      <c r="C377" s="114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7"/>
      <c r="B378" s="10"/>
      <c r="C378" s="114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7"/>
      <c r="B379" s="10"/>
      <c r="C379" s="114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7"/>
      <c r="B380" s="10"/>
      <c r="C380" s="114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7"/>
      <c r="B381" s="10"/>
      <c r="C381" s="114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7"/>
      <c r="B382" s="10"/>
      <c r="C382" s="114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7"/>
      <c r="B383" s="10"/>
      <c r="C383" s="114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7"/>
      <c r="B384" s="10"/>
      <c r="C384" s="114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7"/>
      <c r="B385" s="10"/>
      <c r="C385" s="114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7"/>
      <c r="B386" s="10"/>
      <c r="C386" s="114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7"/>
      <c r="B387" s="10"/>
      <c r="C387" s="114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7"/>
      <c r="B388" s="10"/>
      <c r="C388" s="114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7"/>
      <c r="B389" s="10"/>
      <c r="C389" s="114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7"/>
      <c r="B390" s="10"/>
      <c r="C390" s="114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7"/>
      <c r="B391" s="10"/>
      <c r="C391" s="114"/>
      <c r="D391" s="1"/>
      <c r="E391" s="1"/>
      <c r="F391" s="1"/>
      <c r="G391" s="1"/>
      <c r="H391" s="1"/>
      <c r="I391" s="1"/>
      <c r="J391" s="1"/>
      <c r="K391" s="1"/>
      <c r="L391" s="1"/>
    </row>
  </sheetData>
  <mergeCells count="4">
    <mergeCell ref="A1:L1"/>
    <mergeCell ref="A11:C11"/>
    <mergeCell ref="D9:G9"/>
    <mergeCell ref="H9:L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Hamed Haidara</dc:creator>
  <cp:keywords/>
  <dc:description/>
  <cp:lastModifiedBy>Hubert Onibon</cp:lastModifiedBy>
  <cp:lastPrinted>2008-06-23T08:31:39Z</cp:lastPrinted>
  <dcterms:created xsi:type="dcterms:W3CDTF">1998-03-10T08:22:18Z</dcterms:created>
  <dcterms:modified xsi:type="dcterms:W3CDTF">2010-03-23T12:21:49Z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1893062165</vt:i4>
  </property>
  <property fmtid="{D5CDD505-2E9C-101B-9397-08002B2CF9AE}" pid="3" name="_EmailSubject">
    <vt:lpwstr>[BULK]  RE: MED LME PCB component</vt:lpwstr>
  </property>
  <property fmtid="{D5CDD505-2E9C-101B-9397-08002B2CF9AE}" pid="4" name="_AuthorEmail">
    <vt:lpwstr>DPiper@chemicals.unep.ch</vt:lpwstr>
  </property>
  <property fmtid="{D5CDD505-2E9C-101B-9397-08002B2CF9AE}" pid="5" name="_AuthorEmailDisplayName">
    <vt:lpwstr>David Piper</vt:lpwstr>
  </property>
  <property fmtid="{D5CDD505-2E9C-101B-9397-08002B2CF9AE}" pid="6" name="_ReviewingToolsShownOnce">
    <vt:lpwstr/>
  </property>
</Properties>
</file>